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4" documentId="13_ncr:1_{BBC8E9BE-6321-473B-9A91-1B8160A8E93B}" xr6:coauthVersionLast="47" xr6:coauthVersionMax="47" xr10:uidLastSave="{7D66073A-076E-43CD-B100-5399FF41DF0E}"/>
  <bookViews>
    <workbookView xWindow="-120" yWindow="-120" windowWidth="29040" windowHeight="15720" xr2:uid="{00000000-000D-0000-FFFF-FFFF00000000}"/>
  </bookViews>
  <sheets>
    <sheet name="Disclaimer" sheetId="16" r:id="rId1"/>
    <sheet name="Input" sheetId="1" r:id="rId2"/>
    <sheet name="Actuarial balances" sheetId="10" r:id="rId3"/>
    <sheet name="Income statement" sheetId="4" r:id="rId4"/>
    <sheet name="Invested asset rollforwards" sheetId="7" r:id="rId5"/>
    <sheet name="Balance sheet" sheetId="5" r:id="rId6"/>
    <sheet name="GAAP Equity Rollforward" sheetId="6" r:id="rId7"/>
    <sheet name="Income chart" sheetId="15"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3" i="10" l="1"/>
  <c r="R252" i="10"/>
  <c r="R251" i="10"/>
  <c r="R250" i="10"/>
  <c r="R249" i="10"/>
  <c r="R248" i="10"/>
  <c r="R247" i="10"/>
  <c r="R246" i="10"/>
  <c r="R245" i="10"/>
  <c r="R244" i="10"/>
  <c r="W234" i="10"/>
  <c r="AE232" i="10"/>
  <c r="AA232" i="10"/>
  <c r="Y232" i="10"/>
  <c r="W232" i="10"/>
  <c r="R231" i="10"/>
  <c r="R230" i="10"/>
  <c r="R229" i="10"/>
  <c r="R228" i="10"/>
  <c r="R227" i="10"/>
  <c r="R226" i="10"/>
  <c r="R225" i="10"/>
  <c r="R224" i="10"/>
  <c r="R223" i="10"/>
  <c r="T222" i="10"/>
  <c r="R222" i="10"/>
  <c r="T176" i="10"/>
  <c r="R176" i="10"/>
  <c r="T175" i="10"/>
  <c r="R175" i="10"/>
  <c r="T174" i="10"/>
  <c r="R174" i="10"/>
  <c r="T173" i="10"/>
  <c r="R173" i="10"/>
  <c r="T172" i="10"/>
  <c r="R172" i="10"/>
  <c r="T171" i="10"/>
  <c r="R171" i="10"/>
  <c r="T170" i="10"/>
  <c r="R170" i="10"/>
  <c r="R159" i="10"/>
  <c r="R158" i="10"/>
  <c r="R157" i="10"/>
  <c r="R156" i="10"/>
  <c r="R155" i="10"/>
  <c r="R154" i="10"/>
  <c r="R153" i="10"/>
  <c r="R152" i="10"/>
  <c r="R151" i="10"/>
  <c r="R150" i="10"/>
  <c r="W140" i="10"/>
  <c r="AE138" i="10"/>
  <c r="AA138" i="10"/>
  <c r="Y138" i="10"/>
  <c r="W138" i="10"/>
  <c r="R137" i="10"/>
  <c r="R136" i="10"/>
  <c r="R135" i="10"/>
  <c r="R134" i="10"/>
  <c r="R133" i="10"/>
  <c r="R132" i="10"/>
  <c r="R131" i="10"/>
  <c r="R130" i="10"/>
  <c r="R129" i="10"/>
  <c r="T128" i="10"/>
  <c r="R128" i="10"/>
  <c r="S72" i="10"/>
  <c r="T72" i="10"/>
  <c r="U72" i="10"/>
  <c r="X72" i="10"/>
  <c r="Y72" i="10"/>
  <c r="Z72" i="10"/>
  <c r="T74" i="10"/>
  <c r="U74" i="10"/>
  <c r="T75" i="10"/>
  <c r="U75" i="10"/>
  <c r="T76" i="10"/>
  <c r="U76" i="10"/>
  <c r="T77" i="10"/>
  <c r="U77" i="10"/>
  <c r="T78" i="10"/>
  <c r="U78" i="10"/>
  <c r="T79" i="10"/>
  <c r="U79" i="10"/>
  <c r="T80" i="10"/>
  <c r="U80" i="10"/>
  <c r="T81" i="10"/>
  <c r="U81" i="10"/>
  <c r="T82" i="10"/>
  <c r="U82" i="10"/>
  <c r="R73" i="10"/>
  <c r="R74" i="10"/>
  <c r="R75" i="10"/>
  <c r="R76" i="10"/>
  <c r="R77" i="10"/>
  <c r="R78" i="10"/>
  <c r="R79" i="10"/>
  <c r="R80" i="10"/>
  <c r="R81" i="10"/>
  <c r="R82" i="10"/>
  <c r="R72" i="10"/>
  <c r="R55" i="10"/>
  <c r="R56" i="10"/>
  <c r="R57" i="10"/>
  <c r="R58" i="10"/>
  <c r="R59" i="10"/>
  <c r="R60" i="10"/>
  <c r="R61" i="10"/>
  <c r="R62" i="10"/>
  <c r="R63" i="10"/>
  <c r="R64" i="10"/>
  <c r="R54" i="10"/>
  <c r="AE43" i="10"/>
  <c r="AA43" i="10"/>
  <c r="Y43" i="10"/>
  <c r="W43" i="10"/>
  <c r="W45" i="10"/>
  <c r="T33" i="10"/>
  <c r="R34" i="10"/>
  <c r="R35" i="10"/>
  <c r="R36" i="10"/>
  <c r="R37" i="10"/>
  <c r="R38" i="10"/>
  <c r="R39" i="10"/>
  <c r="R40" i="10"/>
  <c r="R41" i="10"/>
  <c r="R42" i="10"/>
  <c r="R33" i="10"/>
  <c r="L243" i="10" l="1"/>
  <c r="L149" i="10"/>
  <c r="L54" i="10"/>
  <c r="V54" i="10" s="1"/>
  <c r="B19" i="1" l="1"/>
  <c r="B20" i="1" s="1"/>
  <c r="B21" i="1" s="1"/>
  <c r="B22" i="1" s="1"/>
  <c r="B23" i="1" s="1"/>
  <c r="B24" i="1" s="1"/>
  <c r="B25" i="1" s="1"/>
  <c r="B26" i="1" s="1"/>
  <c r="B27" i="1" s="1"/>
  <c r="F18" i="1"/>
  <c r="B51" i="6" l="1"/>
  <c r="B33" i="6"/>
  <c r="D55" i="7"/>
  <c r="D56" i="7"/>
  <c r="D57" i="7"/>
  <c r="D58" i="7"/>
  <c r="D59" i="7"/>
  <c r="D60" i="7"/>
  <c r="D61" i="7"/>
  <c r="D62" i="7"/>
  <c r="D63" i="7"/>
  <c r="D36" i="7"/>
  <c r="D37" i="7"/>
  <c r="D38" i="7"/>
  <c r="D39" i="7"/>
  <c r="D40" i="7"/>
  <c r="D41" i="7"/>
  <c r="D42" i="7"/>
  <c r="D43" i="7"/>
  <c r="D44" i="7"/>
  <c r="D203" i="10"/>
  <c r="L43" i="1"/>
  <c r="L64" i="1" s="1"/>
  <c r="N40" i="1"/>
  <c r="N61" i="1" s="1"/>
  <c r="N41" i="1"/>
  <c r="N62" i="1" s="1"/>
  <c r="N42" i="1"/>
  <c r="N63" i="1" s="1"/>
  <c r="N43" i="1"/>
  <c r="N64" i="1" s="1"/>
  <c r="N44" i="1"/>
  <c r="N65" i="1" s="1"/>
  <c r="N45" i="1"/>
  <c r="N66" i="1" s="1"/>
  <c r="N46" i="1"/>
  <c r="N67" i="1" s="1"/>
  <c r="N47" i="1"/>
  <c r="N68" i="1" s="1"/>
  <c r="N48" i="1"/>
  <c r="N69" i="1" s="1"/>
  <c r="N39" i="1"/>
  <c r="N60" i="1" s="1"/>
  <c r="M40" i="1"/>
  <c r="M61" i="1" s="1"/>
  <c r="M41" i="1"/>
  <c r="M62" i="1" s="1"/>
  <c r="M42" i="1"/>
  <c r="M63" i="1" s="1"/>
  <c r="M43" i="1"/>
  <c r="M64" i="1" s="1"/>
  <c r="M44" i="1"/>
  <c r="M65" i="1" s="1"/>
  <c r="M45" i="1"/>
  <c r="M66" i="1" s="1"/>
  <c r="M46" i="1"/>
  <c r="M67" i="1" s="1"/>
  <c r="M47" i="1"/>
  <c r="M68" i="1" s="1"/>
  <c r="M48" i="1"/>
  <c r="M69" i="1" s="1"/>
  <c r="M39" i="1"/>
  <c r="M60" i="1" s="1"/>
  <c r="L40" i="1"/>
  <c r="L61" i="1" s="1"/>
  <c r="L41" i="1"/>
  <c r="L62" i="1" s="1"/>
  <c r="L42" i="1"/>
  <c r="L63" i="1" s="1"/>
  <c r="L44" i="1"/>
  <c r="L65" i="1" s="1"/>
  <c r="L45" i="1"/>
  <c r="L66" i="1" s="1"/>
  <c r="L46" i="1"/>
  <c r="L67" i="1" s="1"/>
  <c r="L47" i="1"/>
  <c r="L68" i="1" s="1"/>
  <c r="L48" i="1"/>
  <c r="L69" i="1" s="1"/>
  <c r="L39" i="1"/>
  <c r="L60" i="1" s="1"/>
  <c r="K40" i="1"/>
  <c r="K61" i="1" s="1"/>
  <c r="K41" i="1"/>
  <c r="K62" i="1" s="1"/>
  <c r="K42" i="1"/>
  <c r="K63" i="1" s="1"/>
  <c r="K43" i="1"/>
  <c r="K64" i="1" s="1"/>
  <c r="K44" i="1"/>
  <c r="K65" i="1" s="1"/>
  <c r="K45" i="1"/>
  <c r="K66" i="1" s="1"/>
  <c r="K46" i="1"/>
  <c r="K67" i="1" s="1"/>
  <c r="K47" i="1"/>
  <c r="K68" i="1" s="1"/>
  <c r="K48" i="1"/>
  <c r="K69" i="1" s="1"/>
  <c r="K39" i="1"/>
  <c r="K60" i="1" s="1"/>
  <c r="I39" i="1"/>
  <c r="I60" i="1" s="1"/>
  <c r="G40" i="1"/>
  <c r="G61" i="1" s="1"/>
  <c r="H40" i="1"/>
  <c r="H61" i="1" s="1"/>
  <c r="G41" i="1"/>
  <c r="G62" i="1" s="1"/>
  <c r="H41" i="1"/>
  <c r="H62" i="1" s="1"/>
  <c r="G42" i="1"/>
  <c r="G63" i="1" s="1"/>
  <c r="H42" i="1"/>
  <c r="H63" i="1" s="1"/>
  <c r="G43" i="1"/>
  <c r="G64" i="1" s="1"/>
  <c r="H43" i="1"/>
  <c r="H64" i="1" s="1"/>
  <c r="G44" i="1"/>
  <c r="G65" i="1" s="1"/>
  <c r="H44" i="1"/>
  <c r="H65" i="1" s="1"/>
  <c r="G45" i="1"/>
  <c r="G66" i="1" s="1"/>
  <c r="H45" i="1"/>
  <c r="H66" i="1" s="1"/>
  <c r="G46" i="1"/>
  <c r="G67" i="1" s="1"/>
  <c r="H46" i="1"/>
  <c r="H67" i="1" s="1"/>
  <c r="G47" i="1"/>
  <c r="G68" i="1" s="1"/>
  <c r="H47" i="1"/>
  <c r="H68" i="1" s="1"/>
  <c r="G48" i="1"/>
  <c r="G69" i="1" s="1"/>
  <c r="H48" i="1"/>
  <c r="H69" i="1" s="1"/>
  <c r="H39" i="1"/>
  <c r="H60" i="1" s="1"/>
  <c r="G39" i="1"/>
  <c r="G60" i="1" s="1"/>
  <c r="D39" i="1"/>
  <c r="B128" i="10" s="1"/>
  <c r="S128" i="10" s="1"/>
  <c r="E39" i="1"/>
  <c r="E60" i="1" s="1"/>
  <c r="F39" i="1"/>
  <c r="F60" i="1" s="1"/>
  <c r="D40" i="1"/>
  <c r="B129" i="10" s="1"/>
  <c r="S129" i="10" s="1"/>
  <c r="E40" i="1"/>
  <c r="E61" i="1" s="1"/>
  <c r="F40" i="1"/>
  <c r="F61" i="1" s="1"/>
  <c r="D41" i="1"/>
  <c r="D62" i="1" s="1"/>
  <c r="B224" i="10" s="1"/>
  <c r="S224" i="10" s="1"/>
  <c r="E41" i="1"/>
  <c r="E62" i="1" s="1"/>
  <c r="F41" i="1"/>
  <c r="F62" i="1" s="1"/>
  <c r="D42" i="1"/>
  <c r="B131" i="10" s="1"/>
  <c r="S131" i="10" s="1"/>
  <c r="E42" i="1"/>
  <c r="E63" i="1" s="1"/>
  <c r="F42" i="1"/>
  <c r="F63" i="1" s="1"/>
  <c r="D43" i="1"/>
  <c r="D64" i="1" s="1"/>
  <c r="B226" i="10" s="1"/>
  <c r="S226" i="10" s="1"/>
  <c r="E43" i="1"/>
  <c r="E64" i="1" s="1"/>
  <c r="F43" i="1"/>
  <c r="F64" i="1" s="1"/>
  <c r="D44" i="1"/>
  <c r="B133" i="10" s="1"/>
  <c r="S133" i="10" s="1"/>
  <c r="E44" i="1"/>
  <c r="E65" i="1" s="1"/>
  <c r="F44" i="1"/>
  <c r="F65" i="1" s="1"/>
  <c r="D45" i="1"/>
  <c r="B134" i="10" s="1"/>
  <c r="S134" i="10" s="1"/>
  <c r="E45" i="1"/>
  <c r="E66" i="1" s="1"/>
  <c r="F45" i="1"/>
  <c r="F66" i="1" s="1"/>
  <c r="D46" i="1"/>
  <c r="B135" i="10" s="1"/>
  <c r="S135" i="10" s="1"/>
  <c r="E46" i="1"/>
  <c r="E67" i="1" s="1"/>
  <c r="F46" i="1"/>
  <c r="F67" i="1" s="1"/>
  <c r="D47" i="1"/>
  <c r="B136" i="10" s="1"/>
  <c r="S136" i="10" s="1"/>
  <c r="E47" i="1"/>
  <c r="E68" i="1" s="1"/>
  <c r="F47" i="1"/>
  <c r="F68" i="1" s="1"/>
  <c r="D48" i="1"/>
  <c r="D69" i="1" s="1"/>
  <c r="E48" i="1"/>
  <c r="E69" i="1" s="1"/>
  <c r="F48" i="1"/>
  <c r="F69" i="1" s="1"/>
  <c r="C40" i="1"/>
  <c r="C61" i="1" s="1"/>
  <c r="C41" i="1"/>
  <c r="C62" i="1" s="1"/>
  <c r="C42" i="1"/>
  <c r="C63" i="1" s="1"/>
  <c r="C43" i="1"/>
  <c r="C64" i="1" s="1"/>
  <c r="C44" i="1"/>
  <c r="C65" i="1" s="1"/>
  <c r="C45" i="1"/>
  <c r="C66" i="1" s="1"/>
  <c r="C46" i="1"/>
  <c r="C67" i="1" s="1"/>
  <c r="C47" i="1"/>
  <c r="C68" i="1" s="1"/>
  <c r="C48" i="1"/>
  <c r="C69" i="1" s="1"/>
  <c r="C39" i="1"/>
  <c r="C60" i="1" s="1"/>
  <c r="B40" i="1"/>
  <c r="B61" i="1" s="1"/>
  <c r="B41" i="1"/>
  <c r="B62" i="1" s="1"/>
  <c r="B42" i="1"/>
  <c r="B63" i="1" s="1"/>
  <c r="B43" i="1"/>
  <c r="B64" i="1" s="1"/>
  <c r="B44" i="1"/>
  <c r="B65" i="1" s="1"/>
  <c r="B45" i="1"/>
  <c r="B66" i="1" s="1"/>
  <c r="B46" i="1"/>
  <c r="B67" i="1" s="1"/>
  <c r="B47" i="1"/>
  <c r="B68" i="1" s="1"/>
  <c r="B48" i="1"/>
  <c r="B69" i="1" s="1"/>
  <c r="B39" i="1"/>
  <c r="B60" i="1" s="1"/>
  <c r="B32" i="1"/>
  <c r="B31" i="1"/>
  <c r="D109" i="10" s="1"/>
  <c r="D60" i="1" l="1"/>
  <c r="B222" i="10" s="1"/>
  <c r="D68" i="1"/>
  <c r="B130" i="10"/>
  <c r="S130" i="10" s="1"/>
  <c r="B231" i="10"/>
  <c r="S231" i="10" s="1"/>
  <c r="B137" i="10"/>
  <c r="S137" i="10" s="1"/>
  <c r="D61" i="1"/>
  <c r="B223" i="10" s="1"/>
  <c r="S223" i="10" s="1"/>
  <c r="G31" i="4"/>
  <c r="D67" i="1"/>
  <c r="B204" i="10"/>
  <c r="C204" i="10" s="1"/>
  <c r="D66" i="1"/>
  <c r="D65" i="1"/>
  <c r="D63" i="1"/>
  <c r="B225" i="10" s="1"/>
  <c r="S225" i="10" s="1"/>
  <c r="B132" i="10"/>
  <c r="S132" i="10" s="1"/>
  <c r="G48" i="4"/>
  <c r="H203" i="10"/>
  <c r="E222" i="10" s="1"/>
  <c r="V222" i="10" s="1"/>
  <c r="G128" i="10"/>
  <c r="B110" i="10"/>
  <c r="C168" i="10"/>
  <c r="H109" i="10"/>
  <c r="G222" i="10"/>
  <c r="C262" i="10"/>
  <c r="C129" i="10"/>
  <c r="T129" i="10" s="1"/>
  <c r="I19" i="1"/>
  <c r="C223" i="10" l="1"/>
  <c r="C224" i="10" s="1"/>
  <c r="S222" i="10"/>
  <c r="H222" i="10"/>
  <c r="Y222" i="10" s="1"/>
  <c r="X222" i="10"/>
  <c r="H31" i="4"/>
  <c r="E35" i="7" s="1"/>
  <c r="X128" i="10"/>
  <c r="B230" i="10"/>
  <c r="S230" i="10" s="1"/>
  <c r="B229" i="10"/>
  <c r="S229" i="10" s="1"/>
  <c r="I20" i="1"/>
  <c r="I21" i="1" s="1"/>
  <c r="I40" i="1"/>
  <c r="I61" i="1" s="1"/>
  <c r="B228" i="10"/>
  <c r="S228" i="10" s="1"/>
  <c r="D35" i="7"/>
  <c r="D54" i="7"/>
  <c r="F204" i="10"/>
  <c r="K222" i="10" s="1"/>
  <c r="C110" i="10"/>
  <c r="I128" i="10"/>
  <c r="Z128" i="10" s="1"/>
  <c r="I222" i="10"/>
  <c r="Z222" i="10" s="1"/>
  <c r="B227" i="10"/>
  <c r="S227" i="10" s="1"/>
  <c r="G204" i="10"/>
  <c r="L222" i="10" s="1"/>
  <c r="B48" i="4"/>
  <c r="B262" i="10"/>
  <c r="D262" i="10" s="1"/>
  <c r="H48" i="4"/>
  <c r="F222" i="10"/>
  <c r="W222" i="10" s="1"/>
  <c r="F110" i="10"/>
  <c r="E128" i="10"/>
  <c r="V128" i="10" s="1"/>
  <c r="D204" i="10"/>
  <c r="H128" i="10"/>
  <c r="Y128" i="10" s="1"/>
  <c r="D128" i="10"/>
  <c r="U128" i="10" s="1"/>
  <c r="C130" i="10"/>
  <c r="T130" i="10" s="1"/>
  <c r="D14" i="10"/>
  <c r="B33" i="10"/>
  <c r="B34" i="10"/>
  <c r="S34" i="10" s="1"/>
  <c r="B35" i="10"/>
  <c r="S35" i="10" s="1"/>
  <c r="B36" i="10"/>
  <c r="S36" i="10" s="1"/>
  <c r="B37" i="10"/>
  <c r="S37" i="10" s="1"/>
  <c r="B38" i="10"/>
  <c r="S38" i="10" s="1"/>
  <c r="B39" i="10"/>
  <c r="S39" i="10" s="1"/>
  <c r="B40" i="10"/>
  <c r="S40" i="10" s="1"/>
  <c r="B41" i="10"/>
  <c r="S41" i="10" s="1"/>
  <c r="B42" i="10"/>
  <c r="S42" i="10" s="1"/>
  <c r="B93" i="10"/>
  <c r="B94" i="10"/>
  <c r="B95" i="10"/>
  <c r="B96" i="10"/>
  <c r="B97" i="10"/>
  <c r="B98" i="10"/>
  <c r="B99" i="10"/>
  <c r="B100" i="10"/>
  <c r="B101" i="10"/>
  <c r="D48" i="4" l="1"/>
  <c r="I54" i="7" s="1"/>
  <c r="AB222" i="10"/>
  <c r="C225" i="10"/>
  <c r="T224" i="10"/>
  <c r="S33" i="10"/>
  <c r="I64" i="10"/>
  <c r="S64" i="10" s="1"/>
  <c r="E48" i="4"/>
  <c r="J54" i="7" s="1"/>
  <c r="AC222" i="10"/>
  <c r="T223" i="10"/>
  <c r="D222" i="10"/>
  <c r="J222" i="10" s="1"/>
  <c r="AA222" i="10" s="1"/>
  <c r="G110" i="10"/>
  <c r="H110" i="10" s="1"/>
  <c r="K253" i="10"/>
  <c r="U253" i="10" s="1"/>
  <c r="K159" i="10"/>
  <c r="U159" i="10" s="1"/>
  <c r="I253" i="10"/>
  <c r="S253" i="10" s="1"/>
  <c r="K64" i="10"/>
  <c r="U64" i="10" s="1"/>
  <c r="I159" i="10"/>
  <c r="J64" i="10"/>
  <c r="T64" i="10" s="1"/>
  <c r="J253" i="10"/>
  <c r="T253" i="10" s="1"/>
  <c r="J159" i="10"/>
  <c r="T159" i="10" s="1"/>
  <c r="E54" i="7"/>
  <c r="E244" i="10"/>
  <c r="I48" i="4"/>
  <c r="F54" i="7" s="1"/>
  <c r="K128" i="10"/>
  <c r="I41" i="1"/>
  <c r="I62" i="1" s="1"/>
  <c r="G223" i="10"/>
  <c r="J128" i="10"/>
  <c r="AA128" i="10" s="1"/>
  <c r="E150" i="10"/>
  <c r="I31" i="4"/>
  <c r="I22" i="1"/>
  <c r="I42" i="1"/>
  <c r="I63" i="1" s="1"/>
  <c r="H204" i="10"/>
  <c r="E223" i="10" s="1"/>
  <c r="M222" i="10"/>
  <c r="B280" i="10"/>
  <c r="C54" i="7"/>
  <c r="H14" i="10"/>
  <c r="G14" i="4"/>
  <c r="B54" i="7"/>
  <c r="J48" i="4"/>
  <c r="G54" i="7" s="1"/>
  <c r="B31" i="4"/>
  <c r="B168" i="10"/>
  <c r="D168" i="10" s="1"/>
  <c r="B205" i="10"/>
  <c r="D110" i="10"/>
  <c r="C131" i="10"/>
  <c r="T131" i="10" s="1"/>
  <c r="D129" i="10"/>
  <c r="U129" i="10" s="1"/>
  <c r="F128" i="10"/>
  <c r="W128" i="10" s="1"/>
  <c r="C34" i="10"/>
  <c r="C74" i="10"/>
  <c r="T73" i="10" s="1"/>
  <c r="B15" i="10"/>
  <c r="G33" i="10"/>
  <c r="L128" i="10" l="1"/>
  <c r="M128" i="10" s="1"/>
  <c r="H49" i="4"/>
  <c r="E55" i="7" s="1"/>
  <c r="X223" i="10"/>
  <c r="U222" i="10"/>
  <c r="D223" i="10"/>
  <c r="T225" i="10"/>
  <c r="C226" i="10"/>
  <c r="D244" i="10"/>
  <c r="AD222" i="10"/>
  <c r="B263" i="10"/>
  <c r="D263" i="10" s="1"/>
  <c r="V223" i="10"/>
  <c r="D31" i="4"/>
  <c r="I35" i="7" s="1"/>
  <c r="AB128" i="10"/>
  <c r="L159" i="10"/>
  <c r="V159" i="10" s="1"/>
  <c r="S159" i="10"/>
  <c r="H14" i="4"/>
  <c r="X33" i="10"/>
  <c r="D33" i="10"/>
  <c r="T34" i="10"/>
  <c r="N222" i="10"/>
  <c r="AE222" i="10" s="1"/>
  <c r="B49" i="4"/>
  <c r="J49" i="4" s="1"/>
  <c r="G55" i="7" s="1"/>
  <c r="H54" i="7"/>
  <c r="C48" i="4" s="1"/>
  <c r="L253" i="10"/>
  <c r="V253" i="10" s="1"/>
  <c r="L64" i="10"/>
  <c r="V64" i="10" s="1"/>
  <c r="E129" i="10"/>
  <c r="F205" i="10"/>
  <c r="K223" i="10" s="1"/>
  <c r="I223" i="10"/>
  <c r="Z223" i="10" s="1"/>
  <c r="E73" i="10"/>
  <c r="V72" i="10" s="1"/>
  <c r="O48" i="4"/>
  <c r="C15" i="10"/>
  <c r="I33" i="10"/>
  <c r="Z33" i="10" s="1"/>
  <c r="F35" i="7"/>
  <c r="J78" i="15"/>
  <c r="I23" i="1"/>
  <c r="I43" i="1"/>
  <c r="I64" i="1" s="1"/>
  <c r="C205" i="10"/>
  <c r="B186" i="10"/>
  <c r="C35" i="7"/>
  <c r="E33" i="10"/>
  <c r="V33" i="10" s="1"/>
  <c r="J31" i="4"/>
  <c r="B35" i="7"/>
  <c r="B111" i="10"/>
  <c r="G129" i="10"/>
  <c r="H223" i="10"/>
  <c r="Y223" i="10" s="1"/>
  <c r="F223" i="10"/>
  <c r="W223" i="10" s="1"/>
  <c r="C132" i="10"/>
  <c r="T132" i="10" s="1"/>
  <c r="D130" i="10"/>
  <c r="U130" i="10" s="1"/>
  <c r="H33" i="10"/>
  <c r="Y33" i="10" s="1"/>
  <c r="C35" i="10"/>
  <c r="F15" i="10"/>
  <c r="AC128" i="10" l="1"/>
  <c r="E31" i="4"/>
  <c r="J35" i="7" s="1"/>
  <c r="N128" i="10"/>
  <c r="AE128" i="10" s="1"/>
  <c r="D150" i="10"/>
  <c r="AD128" i="10"/>
  <c r="T226" i="10"/>
  <c r="C227" i="10"/>
  <c r="D15" i="10"/>
  <c r="G34" i="10" s="1"/>
  <c r="U223" i="10"/>
  <c r="D224" i="10"/>
  <c r="D49" i="4"/>
  <c r="I55" i="7" s="1"/>
  <c r="AB223" i="10"/>
  <c r="B55" i="7"/>
  <c r="H32" i="4"/>
  <c r="E36" i="7" s="1"/>
  <c r="X129" i="10"/>
  <c r="C36" i="10"/>
  <c r="T36" i="10" s="1"/>
  <c r="T35" i="10"/>
  <c r="B169" i="10"/>
  <c r="D169" i="10" s="1"/>
  <c r="B187" i="10" s="1"/>
  <c r="V129" i="10"/>
  <c r="D34" i="10"/>
  <c r="U33" i="10"/>
  <c r="J79" i="15"/>
  <c r="B32" i="4"/>
  <c r="B36" i="7" s="1"/>
  <c r="G35" i="7"/>
  <c r="H35" i="7" s="1"/>
  <c r="C31" i="4" s="1"/>
  <c r="J62" i="15"/>
  <c r="E55" i="10"/>
  <c r="I14" i="4"/>
  <c r="J33" i="10"/>
  <c r="AA33" i="10" s="1"/>
  <c r="K33" i="10"/>
  <c r="F111" i="10"/>
  <c r="I129" i="10"/>
  <c r="Z129" i="10" s="1"/>
  <c r="G205" i="10"/>
  <c r="H205" i="10" s="1"/>
  <c r="E224" i="10" s="1"/>
  <c r="O31" i="4"/>
  <c r="I49" i="4"/>
  <c r="J223" i="10"/>
  <c r="AA223" i="10" s="1"/>
  <c r="E245" i="10"/>
  <c r="F129" i="10"/>
  <c r="W129" i="10" s="1"/>
  <c r="G15" i="10"/>
  <c r="I24" i="1"/>
  <c r="I44" i="1"/>
  <c r="I65" i="1" s="1"/>
  <c r="H129" i="10"/>
  <c r="Y129" i="10" s="1"/>
  <c r="C111" i="10"/>
  <c r="B14" i="4"/>
  <c r="B74" i="10"/>
  <c r="B281" i="10"/>
  <c r="C55" i="7"/>
  <c r="D205" i="10"/>
  <c r="D131" i="10"/>
  <c r="U131" i="10" s="1"/>
  <c r="C133" i="10"/>
  <c r="T133" i="10" s="1"/>
  <c r="B16" i="10" l="1"/>
  <c r="F16" i="10" s="1"/>
  <c r="K34" i="10" s="1"/>
  <c r="J32" i="4"/>
  <c r="G36" i="7" s="1"/>
  <c r="U224" i="10"/>
  <c r="D225" i="10"/>
  <c r="T227" i="10"/>
  <c r="C228" i="10"/>
  <c r="B50" i="4"/>
  <c r="B56" i="7" s="1"/>
  <c r="V224" i="10"/>
  <c r="C37" i="10"/>
  <c r="T37" i="10" s="1"/>
  <c r="D14" i="4"/>
  <c r="AB33" i="10"/>
  <c r="C36" i="7"/>
  <c r="D74" i="10"/>
  <c r="U73" i="10" s="1"/>
  <c r="S73" i="10"/>
  <c r="H15" i="4"/>
  <c r="X34" i="10"/>
  <c r="B264" i="10"/>
  <c r="D264" i="10" s="1"/>
  <c r="L223" i="10"/>
  <c r="M223" i="10" s="1"/>
  <c r="AD223" i="10" s="1"/>
  <c r="U34" i="10"/>
  <c r="D35" i="10"/>
  <c r="L33" i="10"/>
  <c r="F55" i="7"/>
  <c r="O49" i="4"/>
  <c r="I32" i="4"/>
  <c r="J129" i="10"/>
  <c r="AA129" i="10" s="1"/>
  <c r="E151" i="10"/>
  <c r="H15" i="10"/>
  <c r="E74" i="10" s="1"/>
  <c r="V73" i="10" s="1"/>
  <c r="G224" i="10"/>
  <c r="K129" i="10"/>
  <c r="F16" i="7"/>
  <c r="G111" i="10"/>
  <c r="I25" i="1"/>
  <c r="I45" i="1"/>
  <c r="I66" i="1" s="1"/>
  <c r="D111" i="10"/>
  <c r="B206" i="10"/>
  <c r="F224" i="10"/>
  <c r="W224" i="10" s="1"/>
  <c r="D132" i="10"/>
  <c r="U132" i="10" s="1"/>
  <c r="C134" i="10"/>
  <c r="T134" i="10" s="1"/>
  <c r="H34" i="10"/>
  <c r="Y34" i="10" s="1"/>
  <c r="J63" i="15" l="1"/>
  <c r="H262" i="10"/>
  <c r="J50" i="4"/>
  <c r="G56" i="7" s="1"/>
  <c r="H263" i="10"/>
  <c r="H264" i="10"/>
  <c r="I34" i="10"/>
  <c r="Z34" i="10" s="1"/>
  <c r="C16" i="10"/>
  <c r="G16" i="10" s="1"/>
  <c r="B92" i="10"/>
  <c r="U225" i="10"/>
  <c r="D226" i="10"/>
  <c r="C38" i="10"/>
  <c r="T38" i="10" s="1"/>
  <c r="E49" i="4"/>
  <c r="J55" i="7" s="1"/>
  <c r="AC223" i="10"/>
  <c r="H50" i="4"/>
  <c r="X224" i="10"/>
  <c r="T228" i="10"/>
  <c r="C229" i="10"/>
  <c r="U35" i="10"/>
  <c r="D36" i="10"/>
  <c r="E14" i="4"/>
  <c r="AC33" i="10"/>
  <c r="D32" i="4"/>
  <c r="I36" i="7" s="1"/>
  <c r="AB129" i="10"/>
  <c r="D15" i="4"/>
  <c r="AB34" i="10"/>
  <c r="H265" i="10"/>
  <c r="I224" i="10"/>
  <c r="Z224" i="10" s="1"/>
  <c r="G130" i="10"/>
  <c r="L129" i="10"/>
  <c r="AC129" i="10" s="1"/>
  <c r="E34" i="10"/>
  <c r="J34" i="10"/>
  <c r="AA34" i="10" s="1"/>
  <c r="E56" i="10"/>
  <c r="I15" i="4"/>
  <c r="H111" i="10"/>
  <c r="F36" i="7"/>
  <c r="O32" i="4"/>
  <c r="I26" i="1"/>
  <c r="I46" i="1"/>
  <c r="I67" i="1" s="1"/>
  <c r="B112" i="10"/>
  <c r="F206" i="10"/>
  <c r="K224" i="10" s="1"/>
  <c r="B282" i="10"/>
  <c r="C56" i="7"/>
  <c r="D245" i="10"/>
  <c r="N223" i="10"/>
  <c r="AE223" i="10" s="1"/>
  <c r="C206" i="10"/>
  <c r="H224" i="10"/>
  <c r="Y224" i="10" s="1"/>
  <c r="C135" i="10"/>
  <c r="T135" i="10" s="1"/>
  <c r="D133" i="10"/>
  <c r="U133" i="10" s="1"/>
  <c r="J80" i="15" l="1"/>
  <c r="C39" i="10"/>
  <c r="T39" i="10" s="1"/>
  <c r="D16" i="10"/>
  <c r="G35" i="10" s="1"/>
  <c r="X35" i="10" s="1"/>
  <c r="E56" i="7"/>
  <c r="T229" i="10"/>
  <c r="C230" i="10"/>
  <c r="U226" i="10"/>
  <c r="D227" i="10"/>
  <c r="D50" i="4"/>
  <c r="I56" i="7" s="1"/>
  <c r="AB224" i="10"/>
  <c r="U36" i="10"/>
  <c r="D37" i="10"/>
  <c r="H33" i="4"/>
  <c r="E37" i="7" s="1"/>
  <c r="X130" i="10"/>
  <c r="B15" i="4"/>
  <c r="V34" i="10"/>
  <c r="F34" i="10"/>
  <c r="W34" i="10" s="1"/>
  <c r="H130" i="10"/>
  <c r="Y130" i="10" s="1"/>
  <c r="B75" i="10"/>
  <c r="S74" i="10" s="1"/>
  <c r="L34" i="10"/>
  <c r="J224" i="10"/>
  <c r="AA224" i="10" s="1"/>
  <c r="I50" i="4"/>
  <c r="E246" i="10"/>
  <c r="F112" i="10"/>
  <c r="I130" i="10"/>
  <c r="Z130" i="10" s="1"/>
  <c r="E130" i="10"/>
  <c r="V130" i="10" s="1"/>
  <c r="E32" i="4"/>
  <c r="M129" i="10"/>
  <c r="AD129" i="10" s="1"/>
  <c r="F17" i="7"/>
  <c r="G206" i="10"/>
  <c r="H206" i="10" s="1"/>
  <c r="E225" i="10" s="1"/>
  <c r="C112" i="10"/>
  <c r="H16" i="10"/>
  <c r="I27" i="1"/>
  <c r="I48" i="1" s="1"/>
  <c r="I69" i="1" s="1"/>
  <c r="I47" i="1"/>
  <c r="I68" i="1" s="1"/>
  <c r="D206" i="10"/>
  <c r="D134" i="10"/>
  <c r="U134" i="10" s="1"/>
  <c r="C136" i="10"/>
  <c r="T136" i="10" s="1"/>
  <c r="C40" i="10"/>
  <c r="T40" i="10" s="1"/>
  <c r="B17" i="10" l="1"/>
  <c r="T230" i="10"/>
  <c r="C231" i="10"/>
  <c r="T231" i="10" s="1"/>
  <c r="B51" i="4"/>
  <c r="J51" i="4" s="1"/>
  <c r="G57" i="7" s="1"/>
  <c r="V225" i="10"/>
  <c r="U227" i="10"/>
  <c r="D228" i="10"/>
  <c r="E15" i="4"/>
  <c r="AC34" i="10"/>
  <c r="U37" i="10"/>
  <c r="D38" i="10"/>
  <c r="L224" i="10"/>
  <c r="G225" i="10"/>
  <c r="E75" i="10"/>
  <c r="V74" i="10" s="1"/>
  <c r="E35" i="10"/>
  <c r="V35" i="10" s="1"/>
  <c r="F17" i="10"/>
  <c r="I35" i="10"/>
  <c r="Z35" i="10" s="1"/>
  <c r="C17" i="10"/>
  <c r="D17" i="10" s="1"/>
  <c r="B18" i="10" s="1"/>
  <c r="J130" i="10"/>
  <c r="AA130" i="10" s="1"/>
  <c r="I33" i="4"/>
  <c r="E152" i="10"/>
  <c r="F56" i="7"/>
  <c r="O50" i="4"/>
  <c r="G112" i="10"/>
  <c r="D112" i="10"/>
  <c r="H16" i="4"/>
  <c r="H35" i="10"/>
  <c r="Y35" i="10" s="1"/>
  <c r="N129" i="10"/>
  <c r="AE129" i="10" s="1"/>
  <c r="D151" i="10"/>
  <c r="K130" i="10"/>
  <c r="AB130" i="10" s="1"/>
  <c r="J36" i="7"/>
  <c r="B33" i="4"/>
  <c r="B170" i="10"/>
  <c r="D170" i="10" s="1"/>
  <c r="F130" i="10"/>
  <c r="W130" i="10" s="1"/>
  <c r="B265" i="10"/>
  <c r="D265" i="10" s="1"/>
  <c r="C57" i="7" s="1"/>
  <c r="F225" i="10"/>
  <c r="W225" i="10" s="1"/>
  <c r="B207" i="10"/>
  <c r="D135" i="10"/>
  <c r="U135" i="10" s="1"/>
  <c r="C137" i="10"/>
  <c r="T137" i="10" s="1"/>
  <c r="C41" i="10"/>
  <c r="T41" i="10" s="1"/>
  <c r="B57" i="7" l="1"/>
  <c r="U228" i="10"/>
  <c r="D229" i="10"/>
  <c r="H51" i="4"/>
  <c r="J81" i="15" s="1"/>
  <c r="X225" i="10"/>
  <c r="E50" i="4"/>
  <c r="J56" i="7" s="1"/>
  <c r="AC224" i="10"/>
  <c r="U38" i="10"/>
  <c r="D39" i="10"/>
  <c r="M224" i="10"/>
  <c r="AD224" i="10" s="1"/>
  <c r="D33" i="4"/>
  <c r="I37" i="7" s="1"/>
  <c r="I16" i="4"/>
  <c r="F18" i="7" s="1"/>
  <c r="J35" i="10"/>
  <c r="AA35" i="10" s="1"/>
  <c r="E57" i="10"/>
  <c r="B188" i="10"/>
  <c r="C37" i="7"/>
  <c r="G131" i="10"/>
  <c r="X131" i="10" s="1"/>
  <c r="B113" i="10"/>
  <c r="J33" i="4"/>
  <c r="B37" i="7"/>
  <c r="G36" i="10"/>
  <c r="X36" i="10" s="1"/>
  <c r="K35" i="10"/>
  <c r="L130" i="10"/>
  <c r="H112" i="10"/>
  <c r="F37" i="7"/>
  <c r="G17" i="10"/>
  <c r="B16" i="4"/>
  <c r="F35" i="10"/>
  <c r="W35" i="10" s="1"/>
  <c r="B76" i="10"/>
  <c r="S75" i="10" s="1"/>
  <c r="I225" i="10"/>
  <c r="Z225" i="10" s="1"/>
  <c r="F18" i="10"/>
  <c r="I36" i="10"/>
  <c r="Z36" i="10" s="1"/>
  <c r="B283" i="10"/>
  <c r="C18" i="10"/>
  <c r="D18" i="10" s="1"/>
  <c r="F207" i="10"/>
  <c r="K225" i="10" s="1"/>
  <c r="H225" i="10"/>
  <c r="Y225" i="10" s="1"/>
  <c r="C207" i="10"/>
  <c r="D136" i="10"/>
  <c r="U136" i="10" s="1"/>
  <c r="C42" i="10"/>
  <c r="T42" i="10" s="1"/>
  <c r="E57" i="7" l="1"/>
  <c r="N224" i="10"/>
  <c r="AE224" i="10" s="1"/>
  <c r="D246" i="10"/>
  <c r="D51" i="4"/>
  <c r="I57" i="7" s="1"/>
  <c r="AB225" i="10"/>
  <c r="U229" i="10"/>
  <c r="D230" i="10"/>
  <c r="E33" i="4"/>
  <c r="J37" i="7" s="1"/>
  <c r="AC130" i="10"/>
  <c r="U39" i="10"/>
  <c r="D40" i="10"/>
  <c r="D16" i="4"/>
  <c r="AB35" i="10"/>
  <c r="M130" i="10"/>
  <c r="AD130" i="10" s="1"/>
  <c r="H17" i="4"/>
  <c r="H36" i="10"/>
  <c r="Y36" i="10" s="1"/>
  <c r="H34" i="4"/>
  <c r="H131" i="10"/>
  <c r="Y131" i="10" s="1"/>
  <c r="E131" i="10"/>
  <c r="V131" i="10" s="1"/>
  <c r="H17" i="10"/>
  <c r="L35" i="10"/>
  <c r="G37" i="7"/>
  <c r="J64" i="15"/>
  <c r="F113" i="10"/>
  <c r="I131" i="10"/>
  <c r="Z131" i="10" s="1"/>
  <c r="C113" i="10"/>
  <c r="O33" i="4"/>
  <c r="G18" i="10"/>
  <c r="L36" i="10" s="1"/>
  <c r="I17" i="4"/>
  <c r="F19" i="7" s="1"/>
  <c r="E58" i="10"/>
  <c r="J36" i="10"/>
  <c r="AA36" i="10" s="1"/>
  <c r="G37" i="10"/>
  <c r="K36" i="10"/>
  <c r="J225" i="10"/>
  <c r="AA225" i="10" s="1"/>
  <c r="I51" i="4"/>
  <c r="E247" i="10"/>
  <c r="G207" i="10"/>
  <c r="L225" i="10" s="1"/>
  <c r="D207" i="10"/>
  <c r="D137" i="10"/>
  <c r="U137" i="10" s="1"/>
  <c r="B19" i="10"/>
  <c r="U230" i="10" l="1"/>
  <c r="D231" i="10"/>
  <c r="U231" i="10" s="1"/>
  <c r="E51" i="4"/>
  <c r="J57" i="7" s="1"/>
  <c r="AC225" i="10"/>
  <c r="E17" i="4"/>
  <c r="AC36" i="10"/>
  <c r="E16" i="4"/>
  <c r="AC35" i="10"/>
  <c r="N130" i="10"/>
  <c r="AE130" i="10" s="1"/>
  <c r="D152" i="10"/>
  <c r="U40" i="10"/>
  <c r="D41" i="10"/>
  <c r="D17" i="4"/>
  <c r="AB36" i="10"/>
  <c r="H18" i="4"/>
  <c r="X37" i="10"/>
  <c r="F57" i="7"/>
  <c r="O51" i="4"/>
  <c r="J131" i="10"/>
  <c r="AA131" i="10" s="1"/>
  <c r="I34" i="4"/>
  <c r="F38" i="7" s="1"/>
  <c r="E153" i="10"/>
  <c r="B34" i="4"/>
  <c r="B171" i="10"/>
  <c r="F131" i="10"/>
  <c r="W131" i="10" s="1"/>
  <c r="E38" i="7"/>
  <c r="K131" i="10"/>
  <c r="H37" i="10"/>
  <c r="Y37" i="10" s="1"/>
  <c r="G113" i="10"/>
  <c r="H113" i="10" s="1"/>
  <c r="D113" i="10"/>
  <c r="E36" i="10"/>
  <c r="V36" i="10" s="1"/>
  <c r="E76" i="10"/>
  <c r="V75" i="10" s="1"/>
  <c r="F19" i="10"/>
  <c r="I37" i="10"/>
  <c r="Z37" i="10" s="1"/>
  <c r="G226" i="10"/>
  <c r="H18" i="10"/>
  <c r="B208" i="10"/>
  <c r="M225" i="10"/>
  <c r="AD225" i="10" s="1"/>
  <c r="H207" i="10"/>
  <c r="E226" i="10" s="1"/>
  <c r="V226" i="10" s="1"/>
  <c r="C19" i="10"/>
  <c r="H52" i="4" l="1"/>
  <c r="E58" i="7" s="1"/>
  <c r="X226" i="10"/>
  <c r="U41" i="10"/>
  <c r="D42" i="10"/>
  <c r="U42" i="10" s="1"/>
  <c r="D34" i="4"/>
  <c r="I38" i="7" s="1"/>
  <c r="AB131" i="10"/>
  <c r="D171" i="10"/>
  <c r="U170" i="10" s="1"/>
  <c r="Y170" i="10" s="1"/>
  <c r="S170" i="10"/>
  <c r="G132" i="10"/>
  <c r="X132" i="10" s="1"/>
  <c r="B114" i="10"/>
  <c r="C114" i="10" s="1"/>
  <c r="E132" i="10"/>
  <c r="V132" i="10" s="1"/>
  <c r="C38" i="7"/>
  <c r="B17" i="4"/>
  <c r="B77" i="10"/>
  <c r="S76" i="10" s="1"/>
  <c r="F36" i="10"/>
  <c r="W36" i="10" s="1"/>
  <c r="L131" i="10"/>
  <c r="AC131" i="10" s="1"/>
  <c r="B38" i="7"/>
  <c r="J34" i="4"/>
  <c r="O34" i="4" s="1"/>
  <c r="G19" i="10"/>
  <c r="H19" i="10" s="1"/>
  <c r="K37" i="10"/>
  <c r="I18" i="4"/>
  <c r="E59" i="10"/>
  <c r="J37" i="10"/>
  <c r="AA37" i="10" s="1"/>
  <c r="I226" i="10"/>
  <c r="Z226" i="10" s="1"/>
  <c r="E77" i="10"/>
  <c r="V76" i="10" s="1"/>
  <c r="E37" i="10"/>
  <c r="V37" i="10" s="1"/>
  <c r="D19" i="10"/>
  <c r="F208" i="10"/>
  <c r="K226" i="10" s="1"/>
  <c r="B266" i="10"/>
  <c r="D266" i="10" s="1"/>
  <c r="B52" i="4"/>
  <c r="H226" i="10"/>
  <c r="Y226" i="10" s="1"/>
  <c r="F226" i="10"/>
  <c r="W226" i="10" s="1"/>
  <c r="C208" i="10"/>
  <c r="D247" i="10"/>
  <c r="N225" i="10"/>
  <c r="AE225" i="10" s="1"/>
  <c r="D52" i="4" l="1"/>
  <c r="I58" i="7" s="1"/>
  <c r="AB226" i="10"/>
  <c r="V170" i="10"/>
  <c r="B189" i="10"/>
  <c r="D18" i="4"/>
  <c r="AB37" i="10"/>
  <c r="G114" i="10"/>
  <c r="G38" i="7"/>
  <c r="J65" i="15"/>
  <c r="E34" i="4"/>
  <c r="M131" i="10"/>
  <c r="AD131" i="10" s="1"/>
  <c r="D114" i="10"/>
  <c r="H35" i="4"/>
  <c r="H132" i="10"/>
  <c r="Y132" i="10" s="1"/>
  <c r="B35" i="4"/>
  <c r="F132" i="10"/>
  <c r="W132" i="10" s="1"/>
  <c r="B172" i="10"/>
  <c r="F114" i="10"/>
  <c r="I132" i="10"/>
  <c r="Z132" i="10" s="1"/>
  <c r="F20" i="7"/>
  <c r="E248" i="10"/>
  <c r="I52" i="4"/>
  <c r="J226" i="10"/>
  <c r="AA226" i="10" s="1"/>
  <c r="B18" i="4"/>
  <c r="F37" i="10"/>
  <c r="W37" i="10" s="1"/>
  <c r="B78" i="10"/>
  <c r="S77" i="10" s="1"/>
  <c r="G38" i="10"/>
  <c r="L37" i="10"/>
  <c r="B20" i="10"/>
  <c r="E38" i="10"/>
  <c r="B79" i="10" s="1"/>
  <c r="S78" i="10" s="1"/>
  <c r="E78" i="10"/>
  <c r="V77" i="10" s="1"/>
  <c r="B58" i="7"/>
  <c r="J52" i="4"/>
  <c r="B284" i="10"/>
  <c r="C58" i="7"/>
  <c r="G208" i="10"/>
  <c r="L226" i="10" s="1"/>
  <c r="D208" i="10"/>
  <c r="E52" i="4" l="1"/>
  <c r="J58" i="7" s="1"/>
  <c r="AC226" i="10"/>
  <c r="H19" i="4"/>
  <c r="X38" i="10"/>
  <c r="B19" i="4"/>
  <c r="V38" i="10"/>
  <c r="D172" i="10"/>
  <c r="U171" i="10" s="1"/>
  <c r="S171" i="10"/>
  <c r="E18" i="4"/>
  <c r="AC37" i="10"/>
  <c r="H38" i="10"/>
  <c r="Y38" i="10" s="1"/>
  <c r="G58" i="7"/>
  <c r="J82" i="15"/>
  <c r="B39" i="7"/>
  <c r="J35" i="4"/>
  <c r="G39" i="7" s="1"/>
  <c r="E39" i="7"/>
  <c r="N131" i="10"/>
  <c r="AE131" i="10" s="1"/>
  <c r="D153" i="10"/>
  <c r="J132" i="10"/>
  <c r="AA132" i="10" s="1"/>
  <c r="I35" i="4"/>
  <c r="F39" i="7" s="1"/>
  <c r="E154" i="10"/>
  <c r="F58" i="7"/>
  <c r="O52" i="4"/>
  <c r="K132" i="10"/>
  <c r="AB132" i="10" s="1"/>
  <c r="H114" i="10"/>
  <c r="G133" i="10"/>
  <c r="X133" i="10" s="1"/>
  <c r="B115" i="10"/>
  <c r="J38" i="7"/>
  <c r="L132" i="10"/>
  <c r="F20" i="10"/>
  <c r="I38" i="10"/>
  <c r="Z38" i="10" s="1"/>
  <c r="G227" i="10"/>
  <c r="C20" i="10"/>
  <c r="F38" i="10"/>
  <c r="W38" i="10" s="1"/>
  <c r="B209" i="10"/>
  <c r="M226" i="10"/>
  <c r="AD226" i="10" s="1"/>
  <c r="H208" i="10"/>
  <c r="K82" i="15" l="1"/>
  <c r="B190" i="10"/>
  <c r="C39" i="7"/>
  <c r="H53" i="4"/>
  <c r="E59" i="7" s="1"/>
  <c r="X227" i="10"/>
  <c r="E35" i="4"/>
  <c r="J39" i="7" s="1"/>
  <c r="AC132" i="10"/>
  <c r="O35" i="4"/>
  <c r="J66" i="15"/>
  <c r="D35" i="4"/>
  <c r="M132" i="10"/>
  <c r="AD132" i="10" s="1"/>
  <c r="H36" i="4"/>
  <c r="H133" i="10"/>
  <c r="Y133" i="10" s="1"/>
  <c r="F115" i="10"/>
  <c r="C115" i="10"/>
  <c r="D115" i="10" s="1"/>
  <c r="G134" i="10" s="1"/>
  <c r="X134" i="10" s="1"/>
  <c r="I133" i="10"/>
  <c r="Z133" i="10" s="1"/>
  <c r="E133" i="10"/>
  <c r="V133" i="10" s="1"/>
  <c r="E172" i="10"/>
  <c r="F209" i="10"/>
  <c r="I227" i="10"/>
  <c r="Z227" i="10" s="1"/>
  <c r="E60" i="10"/>
  <c r="J38" i="10"/>
  <c r="AA38" i="10" s="1"/>
  <c r="I19" i="4"/>
  <c r="G20" i="10"/>
  <c r="H20" i="10" s="1"/>
  <c r="K38" i="10"/>
  <c r="D20" i="10"/>
  <c r="B21" i="10" s="1"/>
  <c r="E227" i="10"/>
  <c r="E266" i="10"/>
  <c r="H227" i="10"/>
  <c r="Y227" i="10" s="1"/>
  <c r="C209" i="10"/>
  <c r="D248" i="10"/>
  <c r="N226" i="10"/>
  <c r="AE226" i="10" s="1"/>
  <c r="F227" i="10" l="1"/>
  <c r="W227" i="10" s="1"/>
  <c r="V227" i="10"/>
  <c r="D19" i="4"/>
  <c r="AB38" i="10"/>
  <c r="F172" i="10"/>
  <c r="V171" i="10"/>
  <c r="B53" i="4"/>
  <c r="B59" i="7" s="1"/>
  <c r="H37" i="4"/>
  <c r="H134" i="10"/>
  <c r="Y134" i="10" s="1"/>
  <c r="I39" i="7"/>
  <c r="K66" i="15"/>
  <c r="F21" i="7"/>
  <c r="J133" i="10"/>
  <c r="AA133" i="10" s="1"/>
  <c r="I36" i="4"/>
  <c r="F40" i="7" s="1"/>
  <c r="E155" i="10"/>
  <c r="B173" i="10"/>
  <c r="B36" i="4"/>
  <c r="F133" i="10"/>
  <c r="W133" i="10" s="1"/>
  <c r="G115" i="10"/>
  <c r="H115" i="10" s="1"/>
  <c r="E40" i="7"/>
  <c r="B116" i="10"/>
  <c r="F116" i="10" s="1"/>
  <c r="K133" i="10"/>
  <c r="D154" i="10"/>
  <c r="N132" i="10"/>
  <c r="AE132" i="10" s="1"/>
  <c r="G39" i="10"/>
  <c r="E79" i="10"/>
  <c r="V78" i="10" s="1"/>
  <c r="L38" i="10"/>
  <c r="G209" i="10"/>
  <c r="L227" i="10" s="1"/>
  <c r="F266" i="10"/>
  <c r="I39" i="10"/>
  <c r="Z39" i="10" s="1"/>
  <c r="E249" i="10"/>
  <c r="J227" i="10"/>
  <c r="AA227" i="10" s="1"/>
  <c r="I53" i="4"/>
  <c r="E39" i="10"/>
  <c r="B267" i="10"/>
  <c r="D267" i="10" s="1"/>
  <c r="B285" i="10" s="1"/>
  <c r="D209" i="10"/>
  <c r="K227" i="10"/>
  <c r="AB227" i="10" s="1"/>
  <c r="F21" i="10"/>
  <c r="C21" i="10"/>
  <c r="J53" i="4" l="1"/>
  <c r="G59" i="7" s="1"/>
  <c r="C116" i="10"/>
  <c r="G116" i="10" s="1"/>
  <c r="H116" i="10" s="1"/>
  <c r="I134" i="10"/>
  <c r="Z134" i="10" s="1"/>
  <c r="E53" i="4"/>
  <c r="J59" i="7" s="1"/>
  <c r="AC227" i="10"/>
  <c r="D36" i="4"/>
  <c r="I40" i="7" s="1"/>
  <c r="AB133" i="10"/>
  <c r="D173" i="10"/>
  <c r="U172" i="10" s="1"/>
  <c r="S172" i="10"/>
  <c r="H20" i="4"/>
  <c r="X39" i="10"/>
  <c r="B20" i="4"/>
  <c r="V39" i="10"/>
  <c r="E19" i="4"/>
  <c r="AC38" i="10"/>
  <c r="H39" i="10"/>
  <c r="Y39" i="10" s="1"/>
  <c r="B80" i="10"/>
  <c r="S79" i="10" s="1"/>
  <c r="E134" i="10"/>
  <c r="V134" i="10" s="1"/>
  <c r="E173" i="10"/>
  <c r="V172" i="10" s="1"/>
  <c r="F39" i="10"/>
  <c r="W39" i="10" s="1"/>
  <c r="C59" i="7"/>
  <c r="B40" i="7"/>
  <c r="J36" i="4"/>
  <c r="F59" i="7"/>
  <c r="H209" i="10"/>
  <c r="L133" i="10"/>
  <c r="AC133" i="10" s="1"/>
  <c r="E41" i="7"/>
  <c r="K134" i="10"/>
  <c r="G228" i="10"/>
  <c r="X228" i="10" s="1"/>
  <c r="J134" i="10"/>
  <c r="AA134" i="10" s="1"/>
  <c r="I37" i="4"/>
  <c r="F41" i="7" s="1"/>
  <c r="E156" i="10"/>
  <c r="I20" i="4"/>
  <c r="F22" i="7" s="1"/>
  <c r="E61" i="10"/>
  <c r="J39" i="10"/>
  <c r="AA39" i="10" s="1"/>
  <c r="D116" i="10"/>
  <c r="M227" i="10"/>
  <c r="D53" i="4"/>
  <c r="B210" i="10"/>
  <c r="G21" i="10"/>
  <c r="D21" i="10"/>
  <c r="K39" i="10"/>
  <c r="O53" i="4" l="1"/>
  <c r="J83" i="15"/>
  <c r="C40" i="7"/>
  <c r="B191" i="10"/>
  <c r="D249" i="10"/>
  <c r="AD227" i="10"/>
  <c r="D37" i="4"/>
  <c r="I41" i="7" s="1"/>
  <c r="AB134" i="10"/>
  <c r="D20" i="4"/>
  <c r="AB39" i="10"/>
  <c r="M133" i="10"/>
  <c r="AD133" i="10" s="1"/>
  <c r="E36" i="4"/>
  <c r="E267" i="10"/>
  <c r="B174" i="10"/>
  <c r="B37" i="4"/>
  <c r="F134" i="10"/>
  <c r="W134" i="10" s="1"/>
  <c r="I59" i="7"/>
  <c r="E228" i="10"/>
  <c r="G40" i="7"/>
  <c r="J67" i="15"/>
  <c r="O36" i="4"/>
  <c r="E174" i="10"/>
  <c r="V173" i="10" s="1"/>
  <c r="E135" i="10"/>
  <c r="L39" i="10"/>
  <c r="I228" i="10"/>
  <c r="Z228" i="10" s="1"/>
  <c r="H54" i="4"/>
  <c r="L134" i="10"/>
  <c r="AC134" i="10" s="1"/>
  <c r="G135" i="10"/>
  <c r="B117" i="10"/>
  <c r="C117" i="10" s="1"/>
  <c r="N227" i="10"/>
  <c r="AE227" i="10" s="1"/>
  <c r="F210" i="10"/>
  <c r="H228" i="10"/>
  <c r="Y228" i="10" s="1"/>
  <c r="C210" i="10"/>
  <c r="H135" i="10"/>
  <c r="Y135" i="10" s="1"/>
  <c r="G40" i="10"/>
  <c r="B22" i="10"/>
  <c r="H21" i="10"/>
  <c r="B54" i="4" l="1"/>
  <c r="B60" i="7" s="1"/>
  <c r="V228" i="10"/>
  <c r="B38" i="4"/>
  <c r="B42" i="7" s="1"/>
  <c r="V135" i="10"/>
  <c r="H21" i="4"/>
  <c r="X40" i="10"/>
  <c r="D174" i="10"/>
  <c r="U173" i="10" s="1"/>
  <c r="S173" i="10"/>
  <c r="H38" i="4"/>
  <c r="E42" i="7" s="1"/>
  <c r="X135" i="10"/>
  <c r="E20" i="4"/>
  <c r="AC39" i="10"/>
  <c r="F135" i="10"/>
  <c r="W135" i="10" s="1"/>
  <c r="F228" i="10"/>
  <c r="W228" i="10" s="1"/>
  <c r="J40" i="7"/>
  <c r="J37" i="4"/>
  <c r="B41" i="7"/>
  <c r="N133" i="10"/>
  <c r="AE133" i="10" s="1"/>
  <c r="D155" i="10"/>
  <c r="J38" i="4"/>
  <c r="G42" i="7" s="1"/>
  <c r="B175" i="10"/>
  <c r="E60" i="7"/>
  <c r="B268" i="10"/>
  <c r="F117" i="10"/>
  <c r="I135" i="10"/>
  <c r="Z135" i="10" s="1"/>
  <c r="I54" i="4"/>
  <c r="F60" i="7" s="1"/>
  <c r="J228" i="10"/>
  <c r="AA228" i="10" s="1"/>
  <c r="E250" i="10"/>
  <c r="G210" i="10"/>
  <c r="H210" i="10" s="1"/>
  <c r="K228" i="10"/>
  <c r="AB228" i="10" s="1"/>
  <c r="F22" i="10"/>
  <c r="I40" i="10"/>
  <c r="Z40" i="10" s="1"/>
  <c r="G117" i="10"/>
  <c r="E37" i="4"/>
  <c r="J41" i="7" s="1"/>
  <c r="M134" i="10"/>
  <c r="AD134" i="10" s="1"/>
  <c r="E40" i="10"/>
  <c r="E80" i="10"/>
  <c r="V79" i="10" s="1"/>
  <c r="D117" i="10"/>
  <c r="D210" i="10"/>
  <c r="C22" i="10"/>
  <c r="H40" i="10"/>
  <c r="Y40" i="10" s="1"/>
  <c r="J54" i="4" l="1"/>
  <c r="G60" i="7" s="1"/>
  <c r="J69" i="15"/>
  <c r="C41" i="7"/>
  <c r="B192" i="10"/>
  <c r="B21" i="4"/>
  <c r="V40" i="10"/>
  <c r="H117" i="10"/>
  <c r="D175" i="10"/>
  <c r="B193" i="10" s="1"/>
  <c r="S174" i="10"/>
  <c r="D268" i="10"/>
  <c r="C60" i="7" s="1"/>
  <c r="L228" i="10"/>
  <c r="G41" i="7"/>
  <c r="J68" i="15"/>
  <c r="O37" i="4"/>
  <c r="J135" i="10"/>
  <c r="AA135" i="10" s="1"/>
  <c r="I38" i="4"/>
  <c r="E157" i="10"/>
  <c r="N134" i="10"/>
  <c r="AE134" i="10" s="1"/>
  <c r="D156" i="10"/>
  <c r="G136" i="10"/>
  <c r="E54" i="4"/>
  <c r="J60" i="7" s="1"/>
  <c r="K40" i="10"/>
  <c r="D54" i="4"/>
  <c r="E268" i="10"/>
  <c r="I21" i="4"/>
  <c r="E62" i="10"/>
  <c r="J40" i="10"/>
  <c r="AA40" i="10" s="1"/>
  <c r="G229" i="10"/>
  <c r="X229" i="10" s="1"/>
  <c r="G22" i="10"/>
  <c r="H22" i="10" s="1"/>
  <c r="L135" i="10"/>
  <c r="K135" i="10"/>
  <c r="AB135" i="10" s="1"/>
  <c r="B81" i="10"/>
  <c r="S80" i="10" s="1"/>
  <c r="B118" i="10"/>
  <c r="B211" i="10"/>
  <c r="F211" i="10" s="1"/>
  <c r="E229" i="10"/>
  <c r="V229" i="10" s="1"/>
  <c r="F40" i="10"/>
  <c r="W40" i="10" s="1"/>
  <c r="D22" i="10"/>
  <c r="J84" i="15" l="1"/>
  <c r="O54" i="4"/>
  <c r="E175" i="10"/>
  <c r="V174" i="10" s="1"/>
  <c r="E136" i="10"/>
  <c r="F136" i="10" s="1"/>
  <c r="W136" i="10" s="1"/>
  <c r="AC228" i="10"/>
  <c r="H39" i="4"/>
  <c r="E43" i="7" s="1"/>
  <c r="X136" i="10"/>
  <c r="E38" i="4"/>
  <c r="J42" i="7" s="1"/>
  <c r="AC135" i="10"/>
  <c r="C42" i="7"/>
  <c r="U174" i="10"/>
  <c r="M228" i="10"/>
  <c r="AD228" i="10" s="1"/>
  <c r="D21" i="4"/>
  <c r="AB40" i="10"/>
  <c r="B286" i="10"/>
  <c r="V136" i="10"/>
  <c r="F42" i="7"/>
  <c r="O38" i="4"/>
  <c r="F23" i="7"/>
  <c r="I60" i="7"/>
  <c r="K229" i="10"/>
  <c r="AB229" i="10" s="1"/>
  <c r="L40" i="10"/>
  <c r="B23" i="10"/>
  <c r="C23" i="10" s="1"/>
  <c r="H136" i="10"/>
  <c r="Y136" i="10" s="1"/>
  <c r="C118" i="10"/>
  <c r="D118" i="10" s="1"/>
  <c r="I136" i="10"/>
  <c r="Z136" i="10" s="1"/>
  <c r="H55" i="4"/>
  <c r="F229" i="10"/>
  <c r="W229" i="10" s="1"/>
  <c r="C211" i="10"/>
  <c r="G211" i="10" s="1"/>
  <c r="I229" i="10"/>
  <c r="Z229" i="10" s="1"/>
  <c r="H229" i="10"/>
  <c r="Y229" i="10" s="1"/>
  <c r="D38" i="4"/>
  <c r="M135" i="10"/>
  <c r="AD135" i="10" s="1"/>
  <c r="F118" i="10"/>
  <c r="B176" i="10"/>
  <c r="B39" i="4"/>
  <c r="E41" i="10"/>
  <c r="E81" i="10"/>
  <c r="V80" i="10" s="1"/>
  <c r="B55" i="4"/>
  <c r="B269" i="10"/>
  <c r="G41" i="10"/>
  <c r="N228" i="10" l="1"/>
  <c r="AE228" i="10" s="1"/>
  <c r="D250" i="10"/>
  <c r="D176" i="10"/>
  <c r="S175" i="10"/>
  <c r="H22" i="4"/>
  <c r="X41" i="10"/>
  <c r="E21" i="4"/>
  <c r="AC40" i="10"/>
  <c r="B22" i="4"/>
  <c r="V41" i="10"/>
  <c r="E61" i="7"/>
  <c r="I42" i="7"/>
  <c r="J39" i="4"/>
  <c r="L229" i="10"/>
  <c r="G23" i="10"/>
  <c r="I39" i="4"/>
  <c r="E158" i="10"/>
  <c r="J136" i="10"/>
  <c r="AA136" i="10" s="1"/>
  <c r="F23" i="10"/>
  <c r="H23" i="10" s="1"/>
  <c r="I41" i="10"/>
  <c r="Z41" i="10" s="1"/>
  <c r="D269" i="10"/>
  <c r="J229" i="10"/>
  <c r="AA229" i="10" s="1"/>
  <c r="I55" i="4"/>
  <c r="F61" i="7" s="1"/>
  <c r="E251" i="10"/>
  <c r="G137" i="10"/>
  <c r="K136" i="10"/>
  <c r="AB136" i="10" s="1"/>
  <c r="D157" i="10"/>
  <c r="N135" i="10"/>
  <c r="AE135" i="10" s="1"/>
  <c r="G118" i="10"/>
  <c r="D211" i="10"/>
  <c r="B212" i="10" s="1"/>
  <c r="D55" i="4"/>
  <c r="I61" i="7" s="1"/>
  <c r="F41" i="10"/>
  <c r="W41" i="10" s="1"/>
  <c r="C43" i="7"/>
  <c r="D23" i="10"/>
  <c r="B82" i="10"/>
  <c r="S81" i="10" s="1"/>
  <c r="B43" i="7"/>
  <c r="B61" i="7"/>
  <c r="J55" i="4"/>
  <c r="G61" i="7" s="1"/>
  <c r="H41" i="10"/>
  <c r="Y41" i="10" s="1"/>
  <c r="H211" i="10"/>
  <c r="B119" i="10"/>
  <c r="M229" i="10" l="1"/>
  <c r="AD229" i="10" s="1"/>
  <c r="AC229" i="10"/>
  <c r="C61" i="7"/>
  <c r="H40" i="4"/>
  <c r="E44" i="7" s="1"/>
  <c r="X137" i="10"/>
  <c r="B194" i="10"/>
  <c r="U175" i="10"/>
  <c r="L41" i="10"/>
  <c r="J85" i="15"/>
  <c r="F43" i="7"/>
  <c r="O39" i="4"/>
  <c r="B287" i="10"/>
  <c r="O55" i="4"/>
  <c r="G43" i="7"/>
  <c r="J70" i="15"/>
  <c r="I230" i="10"/>
  <c r="Z230" i="10" s="1"/>
  <c r="I137" i="10"/>
  <c r="Z137" i="10" s="1"/>
  <c r="G42" i="10"/>
  <c r="K41" i="10"/>
  <c r="E82" i="10"/>
  <c r="V81" i="10" s="1"/>
  <c r="G230" i="10"/>
  <c r="L136" i="10"/>
  <c r="H118" i="10"/>
  <c r="D39" i="4"/>
  <c r="I22" i="4"/>
  <c r="E63" i="10"/>
  <c r="J41" i="10"/>
  <c r="AA41" i="10" s="1"/>
  <c r="E55" i="4"/>
  <c r="J61" i="7" s="1"/>
  <c r="B24" i="10"/>
  <c r="C24" i="10" s="1"/>
  <c r="E230" i="10"/>
  <c r="V230" i="10" s="1"/>
  <c r="E269" i="10"/>
  <c r="F119" i="10"/>
  <c r="F212" i="10"/>
  <c r="C212" i="10"/>
  <c r="C119" i="10"/>
  <c r="H137" i="10"/>
  <c r="E42" i="10"/>
  <c r="N229" i="10" l="1"/>
  <c r="AE229" i="10" s="1"/>
  <c r="D251" i="10"/>
  <c r="H230" i="10"/>
  <c r="Y230" i="10" s="1"/>
  <c r="X230" i="10"/>
  <c r="H23" i="4"/>
  <c r="X42" i="10"/>
  <c r="E22" i="4"/>
  <c r="AC41" i="10"/>
  <c r="B23" i="4"/>
  <c r="V42" i="10"/>
  <c r="H139" i="10"/>
  <c r="Y139" i="10" s="1"/>
  <c r="X139" i="10" s="1"/>
  <c r="Y137" i="10"/>
  <c r="E39" i="4"/>
  <c r="J43" i="7" s="1"/>
  <c r="AC136" i="10"/>
  <c r="D22" i="4"/>
  <c r="AB41" i="10"/>
  <c r="M136" i="10"/>
  <c r="AD136" i="10" s="1"/>
  <c r="F24" i="7"/>
  <c r="H42" i="10"/>
  <c r="I43" i="7"/>
  <c r="K137" i="10"/>
  <c r="F24" i="10"/>
  <c r="I42" i="10"/>
  <c r="Z42" i="10" s="1"/>
  <c r="I40" i="4"/>
  <c r="E159" i="10"/>
  <c r="J137" i="10"/>
  <c r="F230" i="10"/>
  <c r="W230" i="10" s="1"/>
  <c r="K230" i="10"/>
  <c r="AB230" i="10" s="1"/>
  <c r="H56" i="4"/>
  <c r="G119" i="10"/>
  <c r="E137" i="10"/>
  <c r="V137" i="10" s="1"/>
  <c r="E176" i="10"/>
  <c r="V175" i="10" s="1"/>
  <c r="E252" i="10"/>
  <c r="I56" i="4"/>
  <c r="F62" i="7" s="1"/>
  <c r="J230" i="10"/>
  <c r="AA230" i="10" s="1"/>
  <c r="B270" i="10"/>
  <c r="B56" i="4"/>
  <c r="G212" i="10"/>
  <c r="D212" i="10"/>
  <c r="D119" i="10"/>
  <c r="F42" i="10"/>
  <c r="W42" i="10" s="1"/>
  <c r="B83" i="10"/>
  <c r="S82" i="10" s="1"/>
  <c r="G24" i="10"/>
  <c r="D24" i="10"/>
  <c r="N136" i="10" l="1"/>
  <c r="AE136" i="10" s="1"/>
  <c r="D158" i="10"/>
  <c r="H44" i="10"/>
  <c r="Y44" i="10" s="1"/>
  <c r="X44" i="10" s="1"/>
  <c r="Y42" i="10"/>
  <c r="J139" i="10"/>
  <c r="AA139" i="10" s="1"/>
  <c r="Z139" i="10" s="1"/>
  <c r="AA137" i="10"/>
  <c r="D40" i="4"/>
  <c r="I44" i="7" s="1"/>
  <c r="AB137" i="10"/>
  <c r="E62" i="7"/>
  <c r="F44" i="7"/>
  <c r="B62" i="7"/>
  <c r="G231" i="10"/>
  <c r="X231" i="10" s="1"/>
  <c r="E64" i="10"/>
  <c r="J42" i="10"/>
  <c r="I23" i="4"/>
  <c r="L230" i="10"/>
  <c r="D270" i="10"/>
  <c r="B177" i="10"/>
  <c r="B40" i="4"/>
  <c r="F137" i="10"/>
  <c r="L137" i="10"/>
  <c r="D56" i="4"/>
  <c r="I62" i="7" s="1"/>
  <c r="K158" i="10"/>
  <c r="U158" i="10" s="1"/>
  <c r="K152" i="10"/>
  <c r="U152" i="10" s="1"/>
  <c r="K149" i="10"/>
  <c r="K150" i="10"/>
  <c r="U150" i="10" s="1"/>
  <c r="K151" i="10"/>
  <c r="U151" i="10" s="1"/>
  <c r="K155" i="10"/>
  <c r="U155" i="10" s="1"/>
  <c r="K154" i="10"/>
  <c r="U154" i="10" s="1"/>
  <c r="K153" i="10"/>
  <c r="U153" i="10" s="1"/>
  <c r="K156" i="10"/>
  <c r="U156" i="10" s="1"/>
  <c r="K157" i="10"/>
  <c r="U157" i="10" s="1"/>
  <c r="K42" i="10"/>
  <c r="J56" i="4"/>
  <c r="G62" i="7" s="1"/>
  <c r="B213" i="10"/>
  <c r="H212" i="10"/>
  <c r="H119" i="10"/>
  <c r="L42" i="10"/>
  <c r="H24" i="10"/>
  <c r="M230" i="10" l="1"/>
  <c r="AD230" i="10" s="1"/>
  <c r="AC230" i="10"/>
  <c r="K63" i="10"/>
  <c r="K54" i="10"/>
  <c r="K55" i="10"/>
  <c r="K57" i="10"/>
  <c r="U57" i="10" s="1"/>
  <c r="K56" i="10"/>
  <c r="U56" i="10" s="1"/>
  <c r="K58" i="10"/>
  <c r="U58" i="10" s="1"/>
  <c r="K62" i="10"/>
  <c r="U62" i="10" s="1"/>
  <c r="K60" i="10"/>
  <c r="U60" i="10" s="1"/>
  <c r="K61" i="10"/>
  <c r="U61" i="10" s="1"/>
  <c r="K59" i="10"/>
  <c r="U59" i="10" s="1"/>
  <c r="J44" i="10"/>
  <c r="AA44" i="10" s="1"/>
  <c r="Z44" i="10" s="1"/>
  <c r="AA42" i="10"/>
  <c r="E40" i="4"/>
  <c r="J44" i="7" s="1"/>
  <c r="AC137" i="10"/>
  <c r="F139" i="10"/>
  <c r="J140" i="10" s="1"/>
  <c r="AA140" i="10" s="1"/>
  <c r="Z140" i="10" s="1"/>
  <c r="W137" i="10"/>
  <c r="E23" i="4"/>
  <c r="AC42" i="10"/>
  <c r="D23" i="4"/>
  <c r="AB42" i="10"/>
  <c r="D177" i="10"/>
  <c r="U176" i="10" s="1"/>
  <c r="S176" i="10"/>
  <c r="O56" i="4"/>
  <c r="J86" i="15"/>
  <c r="M137" i="10"/>
  <c r="AD137" i="10" s="1"/>
  <c r="F25" i="7"/>
  <c r="E83" i="10"/>
  <c r="J40" i="4"/>
  <c r="B44" i="7"/>
  <c r="H57" i="4"/>
  <c r="E270" i="10"/>
  <c r="B288" i="10"/>
  <c r="C62" i="7"/>
  <c r="I231" i="10"/>
  <c r="Z231" i="10" s="1"/>
  <c r="E56" i="4"/>
  <c r="E177" i="10"/>
  <c r="U63" i="10"/>
  <c r="U54" i="10"/>
  <c r="U55" i="10"/>
  <c r="H170" i="10"/>
  <c r="H171" i="10"/>
  <c r="H169" i="10"/>
  <c r="H168" i="10"/>
  <c r="E231" i="10"/>
  <c r="F213" i="10"/>
  <c r="C213" i="10"/>
  <c r="H231" i="10"/>
  <c r="M36" i="10"/>
  <c r="AD36" i="10" s="1"/>
  <c r="M37" i="10"/>
  <c r="AD37" i="10" s="1"/>
  <c r="M40" i="10"/>
  <c r="AD40" i="10" s="1"/>
  <c r="M41" i="10"/>
  <c r="AD41" i="10" s="1"/>
  <c r="D252" i="10" l="1"/>
  <c r="N230" i="10"/>
  <c r="AE230" i="10" s="1"/>
  <c r="N137" i="10"/>
  <c r="N139" i="10" s="1"/>
  <c r="D159" i="10"/>
  <c r="J158" i="10" s="1"/>
  <c r="T158" i="10" s="1"/>
  <c r="H233" i="10"/>
  <c r="Y233" i="10" s="1"/>
  <c r="X233" i="10" s="1"/>
  <c r="Y231" i="10"/>
  <c r="B195" i="10"/>
  <c r="C44" i="7"/>
  <c r="V231" i="10"/>
  <c r="E179" i="10"/>
  <c r="G177" i="10" s="1"/>
  <c r="V176" i="10"/>
  <c r="H140" i="10"/>
  <c r="Y140" i="10" s="1"/>
  <c r="X140" i="10" s="1"/>
  <c r="W139" i="10"/>
  <c r="V139" i="10" s="1"/>
  <c r="AE137" i="10"/>
  <c r="E85" i="10"/>
  <c r="V82" i="10"/>
  <c r="J62" i="7"/>
  <c r="G44" i="7"/>
  <c r="J71" i="15"/>
  <c r="O40" i="4"/>
  <c r="E63" i="7"/>
  <c r="K231" i="10"/>
  <c r="AB231" i="10" s="1"/>
  <c r="J231" i="10"/>
  <c r="E253" i="10"/>
  <c r="I57" i="4"/>
  <c r="F63" i="7" s="1"/>
  <c r="J151" i="10"/>
  <c r="T151" i="10" s="1"/>
  <c r="J152" i="10"/>
  <c r="T152" i="10" s="1"/>
  <c r="J150" i="10"/>
  <c r="T150" i="10" s="1"/>
  <c r="J154" i="10"/>
  <c r="T154" i="10" s="1"/>
  <c r="J153" i="10"/>
  <c r="T153" i="10" s="1"/>
  <c r="J155" i="10"/>
  <c r="T155" i="10" s="1"/>
  <c r="J157" i="10"/>
  <c r="T157" i="10" s="1"/>
  <c r="J156" i="10"/>
  <c r="T156" i="10" s="1"/>
  <c r="G173" i="10"/>
  <c r="G174" i="10"/>
  <c r="B271" i="10"/>
  <c r="B57" i="4"/>
  <c r="F231" i="10"/>
  <c r="G213" i="10"/>
  <c r="D213" i="10"/>
  <c r="D63" i="10"/>
  <c r="N41" i="10"/>
  <c r="AE41" i="10" s="1"/>
  <c r="D59" i="10"/>
  <c r="N37" i="10"/>
  <c r="AE37" i="10" s="1"/>
  <c r="D62" i="10"/>
  <c r="N40" i="10"/>
  <c r="AE40" i="10" s="1"/>
  <c r="D58" i="10"/>
  <c r="N36" i="10"/>
  <c r="AE36" i="10" s="1"/>
  <c r="M33" i="10"/>
  <c r="AD33" i="10" s="1"/>
  <c r="M39" i="10"/>
  <c r="AD39" i="10" s="1"/>
  <c r="M35" i="10"/>
  <c r="AD35" i="10" s="1"/>
  <c r="M42" i="10"/>
  <c r="AD42" i="10" s="1"/>
  <c r="M38" i="10"/>
  <c r="AD38" i="10" s="1"/>
  <c r="M34" i="10"/>
  <c r="AD34" i="10" s="1"/>
  <c r="G176" i="10" l="1"/>
  <c r="G175" i="10"/>
  <c r="J149" i="10"/>
  <c r="J233" i="10"/>
  <c r="AA233" i="10" s="1"/>
  <c r="Z233" i="10" s="1"/>
  <c r="AA231" i="10"/>
  <c r="F233" i="10"/>
  <c r="W231" i="10"/>
  <c r="F80" i="10"/>
  <c r="G80" i="10" s="1"/>
  <c r="C98" i="10" s="1"/>
  <c r="F75" i="10"/>
  <c r="G75" i="10" s="1"/>
  <c r="C93" i="10" s="1"/>
  <c r="F81" i="10"/>
  <c r="G81" i="10" s="1"/>
  <c r="C99" i="10" s="1"/>
  <c r="F78" i="10"/>
  <c r="G78" i="10" s="1"/>
  <c r="C96" i="10" s="1"/>
  <c r="F79" i="10"/>
  <c r="G79" i="10" s="1"/>
  <c r="C97" i="10" s="1"/>
  <c r="F82" i="10"/>
  <c r="G82" i="10" s="1"/>
  <c r="C100" i="10" s="1"/>
  <c r="F76" i="10"/>
  <c r="G76" i="10" s="1"/>
  <c r="C94" i="10" s="1"/>
  <c r="F77" i="10"/>
  <c r="G77" i="10" s="1"/>
  <c r="C95" i="10" s="1"/>
  <c r="F74" i="10"/>
  <c r="G74" i="10" s="1"/>
  <c r="C92" i="10" s="1"/>
  <c r="F83" i="10"/>
  <c r="G83" i="10" s="1"/>
  <c r="C101" i="10" s="1"/>
  <c r="N140" i="10"/>
  <c r="AE139" i="10"/>
  <c r="AD139" i="10" s="1"/>
  <c r="W82" i="10"/>
  <c r="W73" i="10"/>
  <c r="X74" i="10" s="1"/>
  <c r="W72" i="10"/>
  <c r="X73" i="10" s="1"/>
  <c r="Y73" i="10" s="1"/>
  <c r="Z73" i="10" s="1"/>
  <c r="W74" i="10"/>
  <c r="X75" i="10" s="1"/>
  <c r="W75" i="10"/>
  <c r="X76" i="10" s="1"/>
  <c r="W76" i="10"/>
  <c r="X77" i="10" s="1"/>
  <c r="W81" i="10"/>
  <c r="X82" i="10" s="1"/>
  <c r="W77" i="10"/>
  <c r="X78" i="10" s="1"/>
  <c r="W79" i="10"/>
  <c r="X80" i="10" s="1"/>
  <c r="W80" i="10"/>
  <c r="X81" i="10" s="1"/>
  <c r="W78" i="10"/>
  <c r="X79" i="10" s="1"/>
  <c r="W176" i="10"/>
  <c r="W170" i="10"/>
  <c r="X171" i="10" s="1"/>
  <c r="W173" i="10"/>
  <c r="X174" i="10" s="1"/>
  <c r="W174" i="10"/>
  <c r="X175" i="10" s="1"/>
  <c r="W175" i="10"/>
  <c r="X176" i="10" s="1"/>
  <c r="W172" i="10"/>
  <c r="X173" i="10" s="1"/>
  <c r="W171" i="10"/>
  <c r="X172" i="10" s="1"/>
  <c r="D271" i="10"/>
  <c r="K252" i="10"/>
  <c r="U252" i="10" s="1"/>
  <c r="K246" i="10"/>
  <c r="U246" i="10" s="1"/>
  <c r="K244" i="10"/>
  <c r="U244" i="10" s="1"/>
  <c r="K243" i="10"/>
  <c r="K245" i="10"/>
  <c r="U245" i="10" s="1"/>
  <c r="K247" i="10"/>
  <c r="U247" i="10" s="1"/>
  <c r="K248" i="10"/>
  <c r="U248" i="10" s="1"/>
  <c r="K251" i="10"/>
  <c r="U251" i="10" s="1"/>
  <c r="K249" i="10"/>
  <c r="U249" i="10" s="1"/>
  <c r="K250" i="10"/>
  <c r="U250" i="10" s="1"/>
  <c r="L231" i="10"/>
  <c r="D57" i="4"/>
  <c r="I63" i="7" s="1"/>
  <c r="J57" i="4"/>
  <c r="B63" i="7"/>
  <c r="H213" i="10"/>
  <c r="D64" i="10"/>
  <c r="J62" i="10" s="1"/>
  <c r="N42" i="10"/>
  <c r="AE42" i="10" s="1"/>
  <c r="D57" i="10"/>
  <c r="N35" i="10"/>
  <c r="AE35" i="10" s="1"/>
  <c r="D56" i="10"/>
  <c r="N34" i="10"/>
  <c r="AE34" i="10" s="1"/>
  <c r="D61" i="10"/>
  <c r="N39" i="10"/>
  <c r="AE39" i="10" s="1"/>
  <c r="D60" i="10"/>
  <c r="N38" i="10"/>
  <c r="AE38" i="10" s="1"/>
  <c r="N33" i="10"/>
  <c r="AE33" i="10" s="1"/>
  <c r="D55" i="10"/>
  <c r="J234" i="10" l="1"/>
  <c r="AA234" i="10" s="1"/>
  <c r="Z234" i="10" s="1"/>
  <c r="J60" i="10"/>
  <c r="T60" i="10" s="1"/>
  <c r="J59" i="10"/>
  <c r="J54" i="10"/>
  <c r="M231" i="10"/>
  <c r="AD231" i="10" s="1"/>
  <c r="AC231" i="10"/>
  <c r="J63" i="10"/>
  <c r="T63" i="10" s="1"/>
  <c r="J57" i="10"/>
  <c r="T57" i="10" s="1"/>
  <c r="J55" i="10"/>
  <c r="H234" i="10"/>
  <c r="Y234" i="10" s="1"/>
  <c r="X234" i="10" s="1"/>
  <c r="W233" i="10"/>
  <c r="V233" i="10" s="1"/>
  <c r="J58" i="10"/>
  <c r="T58" i="10" s="1"/>
  <c r="J56" i="10"/>
  <c r="T56" i="10" s="1"/>
  <c r="C63" i="7"/>
  <c r="B289" i="10"/>
  <c r="J61" i="10"/>
  <c r="T61" i="10" s="1"/>
  <c r="C189" i="10"/>
  <c r="C283" i="10" s="1"/>
  <c r="K34" i="4"/>
  <c r="B65" i="15" s="1"/>
  <c r="G65" i="15" s="1"/>
  <c r="K51" i="4"/>
  <c r="B81" i="15" s="1"/>
  <c r="G81" i="15" s="1"/>
  <c r="Y74" i="10"/>
  <c r="Z74" i="10" s="1"/>
  <c r="Y75" i="10" s="1"/>
  <c r="Z75" i="10" s="1"/>
  <c r="Y76" i="10" s="1"/>
  <c r="Z76" i="10" s="1"/>
  <c r="C188" i="10"/>
  <c r="C282" i="10" s="1"/>
  <c r="K50" i="4"/>
  <c r="B80" i="15" s="1"/>
  <c r="G80" i="15" s="1"/>
  <c r="K33" i="4"/>
  <c r="B64" i="15" s="1"/>
  <c r="G64" i="15" s="1"/>
  <c r="AE140" i="10"/>
  <c r="AD140" i="10" s="1"/>
  <c r="F142" i="10"/>
  <c r="C187" i="10"/>
  <c r="C281" i="10" s="1"/>
  <c r="K32" i="4"/>
  <c r="B63" i="15" s="1"/>
  <c r="G63" i="15" s="1"/>
  <c r="K49" i="4"/>
  <c r="B79" i="15" s="1"/>
  <c r="G79" i="15" s="1"/>
  <c r="C186" i="10"/>
  <c r="K31" i="4"/>
  <c r="B62" i="15" s="1"/>
  <c r="G62" i="15" s="1"/>
  <c r="D92" i="10"/>
  <c r="K48" i="4"/>
  <c r="B78" i="15" s="1"/>
  <c r="G78" i="15" s="1"/>
  <c r="T55" i="10"/>
  <c r="G63" i="7"/>
  <c r="J87" i="15"/>
  <c r="T62" i="10"/>
  <c r="O57" i="4"/>
  <c r="E271" i="10"/>
  <c r="E273" i="10" s="1"/>
  <c r="G268" i="10" s="1"/>
  <c r="T54" i="10"/>
  <c r="E57" i="4"/>
  <c r="T59" i="10"/>
  <c r="N231" i="10"/>
  <c r="D253" i="10"/>
  <c r="N44" i="10"/>
  <c r="AE44" i="10" s="1"/>
  <c r="C17" i="7"/>
  <c r="C18" i="7"/>
  <c r="C19" i="7"/>
  <c r="C20" i="7"/>
  <c r="C21" i="7"/>
  <c r="C22" i="7"/>
  <c r="C23" i="7"/>
  <c r="C24" i="7"/>
  <c r="C25" i="7"/>
  <c r="N233" i="10" l="1"/>
  <c r="AE231" i="10"/>
  <c r="Z170" i="10"/>
  <c r="Y171" i="10" s="1"/>
  <c r="Z171" i="10" s="1"/>
  <c r="Y172" i="10" s="1"/>
  <c r="Z172" i="10" s="1"/>
  <c r="Y173" i="10" s="1"/>
  <c r="Z173" i="10" s="1"/>
  <c r="Y174" i="10" s="1"/>
  <c r="Z174" i="10" s="1"/>
  <c r="Y175" i="10" s="1"/>
  <c r="Z175" i="10" s="1"/>
  <c r="Y176" i="10" s="1"/>
  <c r="Z176" i="10" s="1"/>
  <c r="Y77" i="10"/>
  <c r="Z77" i="10" s="1"/>
  <c r="Y78" i="10" s="1"/>
  <c r="Z78" i="10" s="1"/>
  <c r="G271" i="10"/>
  <c r="C45" i="5"/>
  <c r="C29" i="5"/>
  <c r="C13" i="5"/>
  <c r="D93" i="10"/>
  <c r="G270" i="10"/>
  <c r="D186" i="10"/>
  <c r="D187" i="10" s="1"/>
  <c r="D188" i="10" s="1"/>
  <c r="D189" i="10" s="1"/>
  <c r="C280" i="10"/>
  <c r="D280" i="10" s="1"/>
  <c r="D281" i="10" s="1"/>
  <c r="D282" i="10" s="1"/>
  <c r="D283" i="10" s="1"/>
  <c r="B151" i="10"/>
  <c r="B159" i="10"/>
  <c r="B150" i="10"/>
  <c r="B154" i="10"/>
  <c r="B152" i="10"/>
  <c r="B158" i="10"/>
  <c r="B155" i="10"/>
  <c r="B156" i="10"/>
  <c r="B157" i="10"/>
  <c r="B153" i="10"/>
  <c r="G267" i="10"/>
  <c r="J63" i="7"/>
  <c r="G269" i="10"/>
  <c r="J252" i="10"/>
  <c r="T252" i="10" s="1"/>
  <c r="J244" i="10"/>
  <c r="T244" i="10" s="1"/>
  <c r="J245" i="10"/>
  <c r="T245" i="10" s="1"/>
  <c r="J243" i="10"/>
  <c r="J246" i="10"/>
  <c r="T246" i="10" s="1"/>
  <c r="J251" i="10"/>
  <c r="T251" i="10" s="1"/>
  <c r="J248" i="10"/>
  <c r="T248" i="10" s="1"/>
  <c r="J249" i="10"/>
  <c r="T249" i="10" s="1"/>
  <c r="J247" i="10"/>
  <c r="T247" i="10" s="1"/>
  <c r="J250" i="10"/>
  <c r="T250" i="10" s="1"/>
  <c r="B15" i="6"/>
  <c r="D17" i="7"/>
  <c r="D18" i="7"/>
  <c r="D19" i="7"/>
  <c r="D20" i="7"/>
  <c r="D21" i="7"/>
  <c r="D22" i="7"/>
  <c r="D23" i="7"/>
  <c r="D24" i="7"/>
  <c r="D25" i="7"/>
  <c r="N234" i="10" l="1"/>
  <c r="AE233" i="10"/>
  <c r="AD233" i="10" s="1"/>
  <c r="I151" i="10"/>
  <c r="C14" i="5"/>
  <c r="D94" i="10"/>
  <c r="C46" i="5"/>
  <c r="C30" i="5"/>
  <c r="I70" i="15"/>
  <c r="I157" i="10"/>
  <c r="I66" i="15"/>
  <c r="I153" i="10"/>
  <c r="I149" i="10"/>
  <c r="C150" i="10"/>
  <c r="C62" i="15" s="1"/>
  <c r="I152" i="10"/>
  <c r="I158" i="10"/>
  <c r="I71" i="15"/>
  <c r="I69" i="15"/>
  <c r="I156" i="10"/>
  <c r="I150" i="10"/>
  <c r="I68" i="15"/>
  <c r="I155" i="10"/>
  <c r="Y79" i="10"/>
  <c r="Z79" i="10" s="1"/>
  <c r="I67" i="15"/>
  <c r="I154" i="10"/>
  <c r="F33" i="10"/>
  <c r="W33" i="10" s="1"/>
  <c r="B16" i="7"/>
  <c r="J14" i="4"/>
  <c r="E24" i="4" s="1"/>
  <c r="D16" i="7"/>
  <c r="E16" i="7"/>
  <c r="F150" i="10" l="1"/>
  <c r="C151" i="10" s="1"/>
  <c r="F151" i="10" s="1"/>
  <c r="F236" i="10"/>
  <c r="AE234" i="10"/>
  <c r="AD234" i="10" s="1"/>
  <c r="Y80" i="10"/>
  <c r="Z80" i="10" s="1"/>
  <c r="L157" i="10"/>
  <c r="V157" i="10" s="1"/>
  <c r="S157" i="10"/>
  <c r="L158" i="10"/>
  <c r="V158" i="10" s="1"/>
  <c r="S158" i="10"/>
  <c r="L152" i="10"/>
  <c r="V152" i="10" s="1"/>
  <c r="S152" i="10"/>
  <c r="L155" i="10"/>
  <c r="V155" i="10" s="1"/>
  <c r="S155" i="10"/>
  <c r="L154" i="10"/>
  <c r="V154" i="10" s="1"/>
  <c r="S154" i="10"/>
  <c r="C15" i="5"/>
  <c r="C47" i="5"/>
  <c r="D95" i="10"/>
  <c r="C31" i="5"/>
  <c r="L150" i="10"/>
  <c r="V150" i="10" s="1"/>
  <c r="S150" i="10"/>
  <c r="L156" i="10"/>
  <c r="V156" i="10" s="1"/>
  <c r="S156" i="10"/>
  <c r="L153" i="10"/>
  <c r="V153" i="10" s="1"/>
  <c r="S153" i="10"/>
  <c r="L151" i="10"/>
  <c r="V151" i="10" s="1"/>
  <c r="S151" i="10"/>
  <c r="J46" i="15"/>
  <c r="O14" i="4"/>
  <c r="C16" i="7"/>
  <c r="G16" i="7"/>
  <c r="B244" i="10" l="1"/>
  <c r="B253" i="10"/>
  <c r="B248" i="10"/>
  <c r="B252" i="10"/>
  <c r="B250" i="10"/>
  <c r="B247" i="10"/>
  <c r="B251" i="10"/>
  <c r="B249" i="10"/>
  <c r="B246" i="10"/>
  <c r="B245" i="10"/>
  <c r="Y81" i="10"/>
  <c r="Z81" i="10" s="1"/>
  <c r="C152" i="10"/>
  <c r="F152" i="10" s="1"/>
  <c r="C153" i="10" s="1"/>
  <c r="F153" i="10" s="1"/>
  <c r="C154" i="10" s="1"/>
  <c r="H16" i="7"/>
  <c r="C14" i="4" s="1"/>
  <c r="C32" i="5"/>
  <c r="C48" i="5"/>
  <c r="D96" i="10"/>
  <c r="C16" i="5"/>
  <c r="J15" i="4"/>
  <c r="B17" i="7"/>
  <c r="E17" i="7"/>
  <c r="K14" i="4"/>
  <c r="B46" i="15" s="1"/>
  <c r="I244" i="10" l="1"/>
  <c r="L244" i="10" s="1"/>
  <c r="V244" i="10" s="1"/>
  <c r="I246" i="10"/>
  <c r="S246" i="10" s="1"/>
  <c r="I245" i="10"/>
  <c r="L245" i="10" s="1"/>
  <c r="V245" i="10" s="1"/>
  <c r="I83" i="15"/>
  <c r="I248" i="10"/>
  <c r="I251" i="10"/>
  <c r="I86" i="15"/>
  <c r="I82" i="15"/>
  <c r="I247" i="10"/>
  <c r="L246" i="10"/>
  <c r="V246" i="10" s="1"/>
  <c r="I84" i="15"/>
  <c r="I249" i="10"/>
  <c r="I87" i="15"/>
  <c r="I252" i="10"/>
  <c r="I85" i="15"/>
  <c r="I250" i="10"/>
  <c r="I243" i="10"/>
  <c r="C244" i="10"/>
  <c r="C78" i="15" s="1"/>
  <c r="Y82" i="10"/>
  <c r="Z82" i="10" s="1"/>
  <c r="F154" i="10"/>
  <c r="F33" i="5" s="1"/>
  <c r="H172" i="10"/>
  <c r="C17" i="5"/>
  <c r="D97" i="10"/>
  <c r="J47" i="15"/>
  <c r="O15" i="4"/>
  <c r="G46" i="15"/>
  <c r="G17" i="7"/>
  <c r="S244" i="10" l="1"/>
  <c r="S245" i="10"/>
  <c r="C155" i="10"/>
  <c r="L252" i="10"/>
  <c r="V252" i="10" s="1"/>
  <c r="S252" i="10"/>
  <c r="L250" i="10"/>
  <c r="V250" i="10" s="1"/>
  <c r="S250" i="10"/>
  <c r="L247" i="10"/>
  <c r="V247" i="10" s="1"/>
  <c r="S247" i="10"/>
  <c r="F244" i="10"/>
  <c r="L249" i="10"/>
  <c r="V249" i="10" s="1"/>
  <c r="S249" i="10"/>
  <c r="L251" i="10"/>
  <c r="V251" i="10" s="1"/>
  <c r="S251" i="10"/>
  <c r="L248" i="10"/>
  <c r="V248" i="10" s="1"/>
  <c r="S248" i="10"/>
  <c r="L172" i="10"/>
  <c r="C190" i="10"/>
  <c r="D98" i="10"/>
  <c r="C18" i="5"/>
  <c r="F155" i="10"/>
  <c r="F36" i="4" s="1"/>
  <c r="D67" i="15" s="1"/>
  <c r="I16" i="7"/>
  <c r="K15" i="4"/>
  <c r="B47" i="15" s="1"/>
  <c r="G47" i="15" s="1"/>
  <c r="C156" i="10" l="1"/>
  <c r="F156" i="10" s="1"/>
  <c r="C245" i="10"/>
  <c r="F245" i="10" s="1"/>
  <c r="D99" i="10"/>
  <c r="C19" i="5"/>
  <c r="F34" i="5"/>
  <c r="C284" i="10"/>
  <c r="D284" i="10" s="1"/>
  <c r="D190" i="10"/>
  <c r="E18" i="7"/>
  <c r="J16" i="4"/>
  <c r="B18" i="7"/>
  <c r="J16" i="7"/>
  <c r="F35" i="5" l="1"/>
  <c r="C157" i="10"/>
  <c r="F157" i="10" s="1"/>
  <c r="F38" i="4" s="1"/>
  <c r="D69" i="15" s="1"/>
  <c r="F37" i="4"/>
  <c r="D68" i="15" s="1"/>
  <c r="C246" i="10"/>
  <c r="F246" i="10" s="1"/>
  <c r="H177" i="10"/>
  <c r="C195" i="10" s="1"/>
  <c r="K40" i="4" s="1"/>
  <c r="B71" i="15" s="1"/>
  <c r="G71" i="15" s="1"/>
  <c r="H175" i="10"/>
  <c r="C193" i="10" s="1"/>
  <c r="K38" i="4" s="1"/>
  <c r="B69" i="15" s="1"/>
  <c r="G69" i="15" s="1"/>
  <c r="K35" i="4"/>
  <c r="B66" i="15" s="1"/>
  <c r="G66" i="15" s="1"/>
  <c r="H174" i="10"/>
  <c r="C192" i="10" s="1"/>
  <c r="K37" i="4" s="1"/>
  <c r="B68" i="15" s="1"/>
  <c r="G68" i="15" s="1"/>
  <c r="H173" i="10"/>
  <c r="C191" i="10" s="1"/>
  <c r="K36" i="4" s="1"/>
  <c r="B67" i="15" s="1"/>
  <c r="G67" i="15" s="1"/>
  <c r="H266" i="10"/>
  <c r="L266" i="10" s="1"/>
  <c r="C33" i="5"/>
  <c r="H176" i="10"/>
  <c r="C194" i="10" s="1"/>
  <c r="K39" i="4" s="1"/>
  <c r="B70" i="15" s="1"/>
  <c r="G70" i="15" s="1"/>
  <c r="H267" i="10"/>
  <c r="H271" i="10"/>
  <c r="C289" i="10" s="1"/>
  <c r="K57" i="4" s="1"/>
  <c r="B87" i="15" s="1"/>
  <c r="G87" i="15" s="1"/>
  <c r="C49" i="5"/>
  <c r="K52" i="4"/>
  <c r="B82" i="15" s="1"/>
  <c r="G82" i="15" s="1"/>
  <c r="H270" i="10"/>
  <c r="C288" i="10" s="1"/>
  <c r="K56" i="4" s="1"/>
  <c r="B86" i="15" s="1"/>
  <c r="G86" i="15" s="1"/>
  <c r="H269" i="10"/>
  <c r="C287" i="10" s="1"/>
  <c r="K55" i="4" s="1"/>
  <c r="B85" i="15" s="1"/>
  <c r="G85" i="15" s="1"/>
  <c r="H268" i="10"/>
  <c r="C286" i="10" s="1"/>
  <c r="K54" i="4" s="1"/>
  <c r="B84" i="15" s="1"/>
  <c r="G84" i="15" s="1"/>
  <c r="D100" i="10"/>
  <c r="C20" i="5"/>
  <c r="J48" i="15"/>
  <c r="O16" i="4"/>
  <c r="C158" i="10"/>
  <c r="F158" i="10" s="1"/>
  <c r="G18" i="7"/>
  <c r="K16" i="4"/>
  <c r="B48" i="15" s="1"/>
  <c r="F36" i="5" l="1"/>
  <c r="C247" i="10"/>
  <c r="F247" i="10" s="1"/>
  <c r="D101" i="10"/>
  <c r="C21" i="5"/>
  <c r="D191" i="10"/>
  <c r="F39" i="4"/>
  <c r="D70" i="15" s="1"/>
  <c r="C159" i="10"/>
  <c r="F159" i="10" s="1"/>
  <c r="F38" i="5" s="1"/>
  <c r="F37" i="5"/>
  <c r="G48" i="15"/>
  <c r="E19" i="7"/>
  <c r="J17" i="4"/>
  <c r="B19" i="7"/>
  <c r="I17" i="7"/>
  <c r="C248" i="10" l="1"/>
  <c r="F248" i="10" s="1"/>
  <c r="D192" i="10"/>
  <c r="C34" i="5"/>
  <c r="C54" i="5"/>
  <c r="C22" i="5"/>
  <c r="J49" i="15"/>
  <c r="O17" i="4"/>
  <c r="F40" i="4"/>
  <c r="D71" i="15" s="1"/>
  <c r="G19" i="7"/>
  <c r="C249" i="10" l="1"/>
  <c r="F249" i="10"/>
  <c r="F53" i="4" s="1"/>
  <c r="D83" i="15" s="1"/>
  <c r="F49" i="5"/>
  <c r="C35" i="5"/>
  <c r="D193" i="10"/>
  <c r="K17" i="4"/>
  <c r="B49" i="15" s="1"/>
  <c r="E20" i="7"/>
  <c r="J17" i="7"/>
  <c r="C250" i="10" l="1"/>
  <c r="F250" i="10" s="1"/>
  <c r="F54" i="4" s="1"/>
  <c r="D84" i="15" s="1"/>
  <c r="F50" i="5"/>
  <c r="D194" i="10"/>
  <c r="C36" i="5"/>
  <c r="G49" i="15"/>
  <c r="J18" i="4"/>
  <c r="B20" i="7"/>
  <c r="C251" i="10" l="1"/>
  <c r="F251" i="10" s="1"/>
  <c r="F55" i="4" s="1"/>
  <c r="D85" i="15" s="1"/>
  <c r="F51" i="5"/>
  <c r="C37" i="5"/>
  <c r="D195" i="10"/>
  <c r="C38" i="5" s="1"/>
  <c r="J50" i="15"/>
  <c r="O18" i="4"/>
  <c r="G20" i="7"/>
  <c r="C252" i="10" l="1"/>
  <c r="F252" i="10" s="1"/>
  <c r="F52" i="5"/>
  <c r="K18" i="4"/>
  <c r="B50" i="15" s="1"/>
  <c r="E21" i="7"/>
  <c r="I18" i="7"/>
  <c r="C253" i="10" l="1"/>
  <c r="F53" i="5"/>
  <c r="F253" i="10"/>
  <c r="F54" i="5" s="1"/>
  <c r="F56" i="4"/>
  <c r="D86" i="15" s="1"/>
  <c r="G50" i="15"/>
  <c r="J19" i="4"/>
  <c r="B21" i="7"/>
  <c r="J18" i="7"/>
  <c r="F57" i="4" l="1"/>
  <c r="D87" i="15" s="1"/>
  <c r="J51" i="15"/>
  <c r="O19" i="4"/>
  <c r="G21" i="7"/>
  <c r="K19" i="4" l="1"/>
  <c r="B51" i="15" s="1"/>
  <c r="G51" i="15" s="1"/>
  <c r="E22" i="7"/>
  <c r="I19" i="7"/>
  <c r="J20" i="4" l="1"/>
  <c r="B22" i="7"/>
  <c r="J52" i="15" l="1"/>
  <c r="O20" i="4"/>
  <c r="G22" i="7"/>
  <c r="J19" i="7"/>
  <c r="K20" i="4" l="1"/>
  <c r="B52" i="15" s="1"/>
  <c r="E23" i="7"/>
  <c r="G52" i="15" l="1"/>
  <c r="J21" i="4"/>
  <c r="B23" i="7"/>
  <c r="J53" i="15" l="1"/>
  <c r="O21" i="4"/>
  <c r="G23" i="7"/>
  <c r="E24" i="7"/>
  <c r="K21" i="4"/>
  <c r="B53" i="15" s="1"/>
  <c r="G53" i="15" l="1"/>
  <c r="J22" i="4"/>
  <c r="B24" i="7"/>
  <c r="I20" i="7"/>
  <c r="J54" i="15" l="1"/>
  <c r="O22" i="4"/>
  <c r="F44" i="10"/>
  <c r="W44" i="10" s="1"/>
  <c r="V44" i="10" s="1"/>
  <c r="G24" i="7"/>
  <c r="J20" i="7"/>
  <c r="J45" i="10" l="1"/>
  <c r="AA45" i="10" s="1"/>
  <c r="Z45" i="10" s="1"/>
  <c r="H45" i="10"/>
  <c r="Y45" i="10" s="1"/>
  <c r="X45" i="10" s="1"/>
  <c r="N45" i="10"/>
  <c r="AE45" i="10" s="1"/>
  <c r="K22" i="4"/>
  <c r="B54" i="15" s="1"/>
  <c r="E25" i="7"/>
  <c r="I21" i="7"/>
  <c r="G54" i="15" l="1"/>
  <c r="F47" i="10"/>
  <c r="F49" i="10" s="1"/>
  <c r="J23" i="4"/>
  <c r="B25" i="7"/>
  <c r="J55" i="15" l="1"/>
  <c r="O23" i="4"/>
  <c r="B58" i="10"/>
  <c r="B62" i="10"/>
  <c r="B59" i="10"/>
  <c r="B63" i="10"/>
  <c r="B56" i="10"/>
  <c r="B60" i="10"/>
  <c r="B64" i="10"/>
  <c r="I63" i="10" s="1"/>
  <c r="B57" i="10"/>
  <c r="B61" i="10"/>
  <c r="B55" i="10"/>
  <c r="G25" i="7"/>
  <c r="J21" i="7"/>
  <c r="I55" i="10" l="1"/>
  <c r="I54" i="10"/>
  <c r="I62" i="10"/>
  <c r="I53" i="15"/>
  <c r="I61" i="10"/>
  <c r="I52" i="15"/>
  <c r="I60" i="10"/>
  <c r="I56" i="10"/>
  <c r="I51" i="15"/>
  <c r="I59" i="10"/>
  <c r="I50" i="15"/>
  <c r="I58" i="10"/>
  <c r="I57" i="10"/>
  <c r="I81" i="15"/>
  <c r="I65" i="15"/>
  <c r="I49" i="15"/>
  <c r="I80" i="15"/>
  <c r="I64" i="15"/>
  <c r="I48" i="15"/>
  <c r="I54" i="15"/>
  <c r="I79" i="15"/>
  <c r="I63" i="15"/>
  <c r="I47" i="15"/>
  <c r="I55" i="15"/>
  <c r="I78" i="15"/>
  <c r="I62" i="15"/>
  <c r="I46" i="15"/>
  <c r="C55" i="10"/>
  <c r="S54" i="10"/>
  <c r="K23" i="4"/>
  <c r="B55" i="15" s="1"/>
  <c r="G55" i="15" s="1"/>
  <c r="L55" i="10" l="1"/>
  <c r="V55" i="10" s="1"/>
  <c r="S55" i="10"/>
  <c r="L63" i="10"/>
  <c r="V63" i="10" s="1"/>
  <c r="S63" i="10"/>
  <c r="L62" i="10"/>
  <c r="V62" i="10" s="1"/>
  <c r="S62" i="10"/>
  <c r="L58" i="10"/>
  <c r="V58" i="10" s="1"/>
  <c r="S58" i="10"/>
  <c r="L56" i="10"/>
  <c r="V56" i="10" s="1"/>
  <c r="S56" i="10"/>
  <c r="L61" i="10"/>
  <c r="V61" i="10" s="1"/>
  <c r="S61" i="10"/>
  <c r="L60" i="10"/>
  <c r="V60" i="10" s="1"/>
  <c r="S60" i="10"/>
  <c r="L59" i="10"/>
  <c r="S59" i="10"/>
  <c r="L57" i="10"/>
  <c r="V57" i="10" s="1"/>
  <c r="S57" i="10"/>
  <c r="F55" i="10"/>
  <c r="C56" i="10" s="1"/>
  <c r="C46" i="15"/>
  <c r="F48" i="4"/>
  <c r="F45" i="5"/>
  <c r="F14" i="4"/>
  <c r="F29" i="5" l="1"/>
  <c r="V59" i="10"/>
  <c r="L14" i="4"/>
  <c r="D46" i="15"/>
  <c r="E46" i="15" s="1"/>
  <c r="L48" i="4"/>
  <c r="D78" i="15"/>
  <c r="E78" i="15" s="1"/>
  <c r="H46" i="15"/>
  <c r="F13" i="5"/>
  <c r="F31" i="4"/>
  <c r="K16" i="7"/>
  <c r="D15" i="6" s="1"/>
  <c r="F56" i="10"/>
  <c r="C57" i="10" s="1"/>
  <c r="I22" i="7"/>
  <c r="M78" i="15" l="1"/>
  <c r="D7" i="15"/>
  <c r="C51" i="6"/>
  <c r="L31" i="4"/>
  <c r="D62" i="15"/>
  <c r="E62" i="15" s="1"/>
  <c r="K54" i="7"/>
  <c r="D51" i="6" s="1"/>
  <c r="E51" i="6" s="1"/>
  <c r="B52" i="6" s="1"/>
  <c r="H62" i="15"/>
  <c r="N46" i="15"/>
  <c r="C15" i="6"/>
  <c r="E15" i="6" s="1"/>
  <c r="B16" i="6" s="1"/>
  <c r="M46" i="15"/>
  <c r="B7" i="15"/>
  <c r="F46" i="5"/>
  <c r="F30" i="5"/>
  <c r="F49" i="4"/>
  <c r="D79" i="15" s="1"/>
  <c r="F32" i="4"/>
  <c r="D63" i="15" s="1"/>
  <c r="L16" i="7"/>
  <c r="F57" i="10"/>
  <c r="F14" i="5"/>
  <c r="F15" i="4"/>
  <c r="D47" i="15" s="1"/>
  <c r="B13" i="5" l="1"/>
  <c r="D13" i="5" s="1"/>
  <c r="H13" i="5" s="1"/>
  <c r="H17" i="7"/>
  <c r="C15" i="4" s="1"/>
  <c r="L54" i="7"/>
  <c r="H78" i="15"/>
  <c r="N78" i="15" s="1"/>
  <c r="O78" i="15" s="1"/>
  <c r="N62" i="15"/>
  <c r="M62" i="15"/>
  <c r="C7" i="15"/>
  <c r="K35" i="7"/>
  <c r="C33" i="6"/>
  <c r="O46" i="15"/>
  <c r="F33" i="4"/>
  <c r="D64" i="15" s="1"/>
  <c r="C58" i="10"/>
  <c r="F58" i="10" s="1"/>
  <c r="F16" i="4"/>
  <c r="D48" i="15" s="1"/>
  <c r="F47" i="5"/>
  <c r="F31" i="5"/>
  <c r="F50" i="4"/>
  <c r="D80" i="15" s="1"/>
  <c r="F15" i="5"/>
  <c r="J22" i="7"/>
  <c r="H55" i="7" l="1"/>
  <c r="C49" i="4" s="1"/>
  <c r="B45" i="5"/>
  <c r="D45" i="5" s="1"/>
  <c r="H45" i="5" s="1"/>
  <c r="O62" i="15"/>
  <c r="L15" i="4"/>
  <c r="K17" i="7" s="1"/>
  <c r="D16" i="6" s="1"/>
  <c r="C47" i="15"/>
  <c r="D33" i="6"/>
  <c r="E33" i="6" s="1"/>
  <c r="B34" i="6" s="1"/>
  <c r="L35" i="7"/>
  <c r="H36" i="7" s="1"/>
  <c r="F51" i="4"/>
  <c r="D81" i="15" s="1"/>
  <c r="C59" i="10"/>
  <c r="F59" i="10" s="1"/>
  <c r="F35" i="4"/>
  <c r="D66" i="15" s="1"/>
  <c r="F52" i="4"/>
  <c r="F32" i="5"/>
  <c r="F48" i="5"/>
  <c r="F34" i="4"/>
  <c r="D65" i="15" s="1"/>
  <c r="F16" i="5"/>
  <c r="F17" i="4"/>
  <c r="D49" i="15" s="1"/>
  <c r="C79" i="15" l="1"/>
  <c r="E79" i="15" s="1"/>
  <c r="L49" i="4"/>
  <c r="K55" i="7" s="1"/>
  <c r="D52" i="6" s="1"/>
  <c r="D82" i="15"/>
  <c r="C32" i="4"/>
  <c r="B29" i="5"/>
  <c r="D29" i="5" s="1"/>
  <c r="H29" i="5" s="1"/>
  <c r="H47" i="15"/>
  <c r="E47" i="15"/>
  <c r="M79" i="15"/>
  <c r="D8" i="15"/>
  <c r="C16" i="6"/>
  <c r="E16" i="6" s="1"/>
  <c r="B17" i="6" s="1"/>
  <c r="M47" i="15"/>
  <c r="B8" i="15"/>
  <c r="F18" i="4"/>
  <c r="D50" i="15" s="1"/>
  <c r="C60" i="10"/>
  <c r="F60" i="10" s="1"/>
  <c r="L17" i="7"/>
  <c r="H18" i="7" s="1"/>
  <c r="F17" i="5"/>
  <c r="C52" i="6" l="1"/>
  <c r="E52" i="6" s="1"/>
  <c r="B53" i="6" s="1"/>
  <c r="B14" i="5"/>
  <c r="D14" i="5" s="1"/>
  <c r="H14" i="5" s="1"/>
  <c r="C16" i="4"/>
  <c r="L32" i="4"/>
  <c r="C63" i="15"/>
  <c r="E63" i="15" s="1"/>
  <c r="H63" i="15"/>
  <c r="N47" i="15"/>
  <c r="O47" i="15" s="1"/>
  <c r="F19" i="4"/>
  <c r="D51" i="15" s="1"/>
  <c r="C61" i="10"/>
  <c r="F61" i="10" s="1"/>
  <c r="F18" i="5"/>
  <c r="M63" i="15" l="1"/>
  <c r="C8" i="15"/>
  <c r="K36" i="7"/>
  <c r="C34" i="6"/>
  <c r="L16" i="4"/>
  <c r="C48" i="15"/>
  <c r="H79" i="15"/>
  <c r="N79" i="15" s="1"/>
  <c r="O79" i="15" s="1"/>
  <c r="N63" i="15"/>
  <c r="F20" i="4"/>
  <c r="D52" i="15" s="1"/>
  <c r="C62" i="10"/>
  <c r="F62" i="10" s="1"/>
  <c r="C63" i="10" s="1"/>
  <c r="F19" i="5"/>
  <c r="I23" i="7"/>
  <c r="H48" i="15" l="1"/>
  <c r="E48" i="15"/>
  <c r="D34" i="6"/>
  <c r="E34" i="6" s="1"/>
  <c r="B35" i="6" s="1"/>
  <c r="L36" i="7"/>
  <c r="H37" i="7" s="1"/>
  <c r="K18" i="7"/>
  <c r="M48" i="15"/>
  <c r="B9" i="15"/>
  <c r="C17" i="6"/>
  <c r="O63" i="15"/>
  <c r="F63" i="10"/>
  <c r="F20" i="5"/>
  <c r="F21" i="4"/>
  <c r="D53" i="15" s="1"/>
  <c r="J23" i="7"/>
  <c r="B30" i="5" l="1"/>
  <c r="D30" i="5" s="1"/>
  <c r="H30" i="5" s="1"/>
  <c r="C33" i="4"/>
  <c r="D17" i="6"/>
  <c r="E17" i="6" s="1"/>
  <c r="B18" i="6" s="1"/>
  <c r="L18" i="7"/>
  <c r="H19" i="7" s="1"/>
  <c r="H64" i="15"/>
  <c r="N48" i="15"/>
  <c r="O48" i="15" s="1"/>
  <c r="F22" i="4"/>
  <c r="D54" i="15" s="1"/>
  <c r="C64" i="10"/>
  <c r="F64" i="10" s="1"/>
  <c r="F22" i="5" s="1"/>
  <c r="F21" i="5"/>
  <c r="L33" i="4" l="1"/>
  <c r="C64" i="15"/>
  <c r="E64" i="15" s="1"/>
  <c r="H80" i="15"/>
  <c r="N80" i="15" s="1"/>
  <c r="N64" i="15"/>
  <c r="B15" i="5"/>
  <c r="D15" i="5" s="1"/>
  <c r="H15" i="5" s="1"/>
  <c r="F23" i="4"/>
  <c r="D55" i="15" s="1"/>
  <c r="C17" i="4" l="1"/>
  <c r="M64" i="15"/>
  <c r="O64" i="15" s="1"/>
  <c r="C9" i="15"/>
  <c r="K37" i="7"/>
  <c r="C35" i="6"/>
  <c r="D35" i="6" l="1"/>
  <c r="E35" i="6" s="1"/>
  <c r="B36" i="6" s="1"/>
  <c r="L37" i="7"/>
  <c r="H38" i="7" s="1"/>
  <c r="L17" i="4"/>
  <c r="C49" i="15"/>
  <c r="I24" i="7"/>
  <c r="J24" i="7"/>
  <c r="B31" i="5" l="1"/>
  <c r="D31" i="5" s="1"/>
  <c r="H31" i="5" s="1"/>
  <c r="C34" i="4"/>
  <c r="H49" i="15"/>
  <c r="E49" i="15"/>
  <c r="M49" i="15"/>
  <c r="B10" i="15"/>
  <c r="K19" i="7"/>
  <c r="C18" i="6"/>
  <c r="H65" i="15" l="1"/>
  <c r="N49" i="15"/>
  <c r="O49" i="15" s="1"/>
  <c r="L34" i="4"/>
  <c r="C65" i="15"/>
  <c r="E65" i="15" s="1"/>
  <c r="D18" i="6"/>
  <c r="E18" i="6" s="1"/>
  <c r="B19" i="6" s="1"/>
  <c r="L19" i="7"/>
  <c r="H20" i="7" s="1"/>
  <c r="M65" i="15" l="1"/>
  <c r="C10" i="15"/>
  <c r="C36" i="6"/>
  <c r="K38" i="7"/>
  <c r="C18" i="4"/>
  <c r="B16" i="5"/>
  <c r="D16" i="5" s="1"/>
  <c r="H16" i="5" s="1"/>
  <c r="H81" i="15"/>
  <c r="N81" i="15" s="1"/>
  <c r="N65" i="15"/>
  <c r="D36" i="6" l="1"/>
  <c r="E36" i="6" s="1"/>
  <c r="B37" i="6" s="1"/>
  <c r="L38" i="7"/>
  <c r="H39" i="7" s="1"/>
  <c r="L18" i="4"/>
  <c r="C50" i="15"/>
  <c r="O65" i="15"/>
  <c r="I25" i="7"/>
  <c r="M50" i="15" l="1"/>
  <c r="B11" i="15"/>
  <c r="B21" i="15" s="1"/>
  <c r="K20" i="7"/>
  <c r="C19" i="6"/>
  <c r="B32" i="5"/>
  <c r="D32" i="5" s="1"/>
  <c r="H32" i="5" s="1"/>
  <c r="C35" i="4"/>
  <c r="H50" i="15"/>
  <c r="E50" i="15"/>
  <c r="J25" i="7"/>
  <c r="N50" i="15" l="1"/>
  <c r="O50" i="15" s="1"/>
  <c r="D19" i="6"/>
  <c r="E19" i="6" s="1"/>
  <c r="B20" i="6" s="1"/>
  <c r="L20" i="7"/>
  <c r="H21" i="7" s="1"/>
  <c r="L35" i="4"/>
  <c r="C66" i="15"/>
  <c r="H66" i="15" l="1"/>
  <c r="L66" i="15" s="1"/>
  <c r="N66" i="15" s="1"/>
  <c r="E66" i="15"/>
  <c r="B17" i="5"/>
  <c r="D17" i="5" s="1"/>
  <c r="H17" i="5" s="1"/>
  <c r="C19" i="4"/>
  <c r="M66" i="15"/>
  <c r="C11" i="15"/>
  <c r="C21" i="15" s="1"/>
  <c r="P35" i="4"/>
  <c r="K39" i="7"/>
  <c r="C37" i="6"/>
  <c r="L19" i="4" l="1"/>
  <c r="C51" i="15"/>
  <c r="D37" i="6"/>
  <c r="E37" i="6" s="1"/>
  <c r="B38" i="6" s="1"/>
  <c r="L39" i="7"/>
  <c r="H40" i="7" s="1"/>
  <c r="O66" i="15"/>
  <c r="B33" i="5" l="1"/>
  <c r="D33" i="5" s="1"/>
  <c r="H33" i="5" s="1"/>
  <c r="C36" i="4"/>
  <c r="H51" i="15"/>
  <c r="N51" i="15" s="1"/>
  <c r="E51" i="15"/>
  <c r="M51" i="15"/>
  <c r="B12" i="15"/>
  <c r="B22" i="15" s="1"/>
  <c r="C20" i="6"/>
  <c r="K21" i="7"/>
  <c r="O51" i="15" l="1"/>
  <c r="L36" i="4"/>
  <c r="C67" i="15"/>
  <c r="D20" i="6"/>
  <c r="E20" i="6" s="1"/>
  <c r="B21" i="6" s="1"/>
  <c r="L21" i="7"/>
  <c r="H22" i="7" s="1"/>
  <c r="C20" i="4" l="1"/>
  <c r="B18" i="5"/>
  <c r="D18" i="5" s="1"/>
  <c r="H18" i="5" s="1"/>
  <c r="H67" i="15"/>
  <c r="N67" i="15" s="1"/>
  <c r="E67" i="15"/>
  <c r="M67" i="15"/>
  <c r="C12" i="15"/>
  <c r="C22" i="15" s="1"/>
  <c r="K40" i="7"/>
  <c r="C38" i="6"/>
  <c r="D38" i="6" l="1"/>
  <c r="E38" i="6" s="1"/>
  <c r="B39" i="6" s="1"/>
  <c r="L40" i="7"/>
  <c r="H41" i="7" s="1"/>
  <c r="O67" i="15"/>
  <c r="L20" i="4"/>
  <c r="C52" i="15"/>
  <c r="B34" i="5" l="1"/>
  <c r="D34" i="5" s="1"/>
  <c r="H34" i="5" s="1"/>
  <c r="C37" i="4"/>
  <c r="M52" i="15"/>
  <c r="B13" i="15"/>
  <c r="K22" i="7"/>
  <c r="C21" i="6"/>
  <c r="H52" i="15"/>
  <c r="N52" i="15" s="1"/>
  <c r="O52" i="15" s="1"/>
  <c r="E52" i="15"/>
  <c r="L37" i="4" l="1"/>
  <c r="C68" i="15"/>
  <c r="D21" i="6"/>
  <c r="E21" i="6" s="1"/>
  <c r="B22" i="6" s="1"/>
  <c r="L22" i="7"/>
  <c r="H23" i="7" s="1"/>
  <c r="C21" i="4" l="1"/>
  <c r="B19" i="5"/>
  <c r="D19" i="5" s="1"/>
  <c r="H19" i="5" s="1"/>
  <c r="H68" i="15"/>
  <c r="N68" i="15" s="1"/>
  <c r="E68" i="15"/>
  <c r="M68" i="15"/>
  <c r="C13" i="15"/>
  <c r="K41" i="7"/>
  <c r="C39" i="6"/>
  <c r="D39" i="6" l="1"/>
  <c r="E39" i="6" s="1"/>
  <c r="B40" i="6" s="1"/>
  <c r="L41" i="7"/>
  <c r="H42" i="7" s="1"/>
  <c r="O68" i="15"/>
  <c r="L21" i="4"/>
  <c r="C53" i="15"/>
  <c r="L55" i="7"/>
  <c r="H56" i="7" s="1"/>
  <c r="B46" i="5" l="1"/>
  <c r="D46" i="5" s="1"/>
  <c r="H46" i="5" s="1"/>
  <c r="C50" i="4"/>
  <c r="M53" i="15"/>
  <c r="B14" i="15"/>
  <c r="C22" i="6"/>
  <c r="K23" i="7"/>
  <c r="C38" i="4"/>
  <c r="B35" i="5"/>
  <c r="D35" i="5" s="1"/>
  <c r="H35" i="5" s="1"/>
  <c r="H53" i="15"/>
  <c r="N53" i="15" s="1"/>
  <c r="E53" i="15"/>
  <c r="O53" i="15" l="1"/>
  <c r="L50" i="4"/>
  <c r="C53" i="6" s="1"/>
  <c r="C80" i="15"/>
  <c r="E80" i="15" s="1"/>
  <c r="D22" i="6"/>
  <c r="E22" i="6" s="1"/>
  <c r="B23" i="6" s="1"/>
  <c r="L23" i="7"/>
  <c r="H24" i="7" s="1"/>
  <c r="L38" i="4"/>
  <c r="C69" i="15"/>
  <c r="K56" i="7"/>
  <c r="H69" i="15" l="1"/>
  <c r="N69" i="15" s="1"/>
  <c r="E69" i="15"/>
  <c r="C22" i="4"/>
  <c r="B20" i="5"/>
  <c r="D20" i="5" s="1"/>
  <c r="H20" i="5" s="1"/>
  <c r="M69" i="15"/>
  <c r="O69" i="15" s="1"/>
  <c r="C14" i="15"/>
  <c r="K42" i="7"/>
  <c r="C40" i="6"/>
  <c r="M80" i="15"/>
  <c r="O80" i="15" s="1"/>
  <c r="D9" i="15"/>
  <c r="L56" i="7"/>
  <c r="H57" i="7" s="1"/>
  <c r="D53" i="6"/>
  <c r="E53" i="6" s="1"/>
  <c r="B54" i="6" s="1"/>
  <c r="D40" i="6" l="1"/>
  <c r="E40" i="6" s="1"/>
  <c r="B41" i="6" s="1"/>
  <c r="L42" i="7"/>
  <c r="H43" i="7" s="1"/>
  <c r="L22" i="4"/>
  <c r="C54" i="15"/>
  <c r="C51" i="4"/>
  <c r="B47" i="5"/>
  <c r="D47" i="5" s="1"/>
  <c r="H47" i="5" s="1"/>
  <c r="L51" i="4" l="1"/>
  <c r="C81" i="15"/>
  <c r="E81" i="15" s="1"/>
  <c r="H54" i="15"/>
  <c r="N54" i="15" s="1"/>
  <c r="E54" i="15"/>
  <c r="M54" i="15"/>
  <c r="B15" i="15"/>
  <c r="C23" i="6"/>
  <c r="K24" i="7"/>
  <c r="C39" i="4"/>
  <c r="B36" i="5"/>
  <c r="D36" i="5" s="1"/>
  <c r="H36" i="5" s="1"/>
  <c r="K57" i="7"/>
  <c r="C54" i="6"/>
  <c r="O54" i="15" l="1"/>
  <c r="D23" i="6"/>
  <c r="E23" i="6" s="1"/>
  <c r="B24" i="6" s="1"/>
  <c r="L24" i="7"/>
  <c r="H25" i="7" s="1"/>
  <c r="L39" i="4"/>
  <c r="C70" i="15"/>
  <c r="M81" i="15"/>
  <c r="O81" i="15" s="1"/>
  <c r="D10" i="15"/>
  <c r="L57" i="7"/>
  <c r="H58" i="7" s="1"/>
  <c r="D54" i="6"/>
  <c r="E54" i="6" s="1"/>
  <c r="B55" i="6" s="1"/>
  <c r="H70" i="15" l="1"/>
  <c r="N70" i="15" s="1"/>
  <c r="E70" i="15"/>
  <c r="M70" i="15"/>
  <c r="C15" i="15"/>
  <c r="K43" i="7"/>
  <c r="C41" i="6"/>
  <c r="B21" i="5"/>
  <c r="D21" i="5" s="1"/>
  <c r="H21" i="5" s="1"/>
  <c r="C23" i="4"/>
  <c r="C52" i="4"/>
  <c r="B48" i="5"/>
  <c r="D48" i="5" s="1"/>
  <c r="H48" i="5" s="1"/>
  <c r="O70" i="15" l="1"/>
  <c r="L23" i="4"/>
  <c r="C55" i="15"/>
  <c r="L52" i="4"/>
  <c r="C82" i="15"/>
  <c r="D41" i="6"/>
  <c r="E41" i="6" s="1"/>
  <c r="B42" i="6" s="1"/>
  <c r="L43" i="7"/>
  <c r="H44" i="7" s="1"/>
  <c r="K58" i="7"/>
  <c r="H82" i="15" l="1"/>
  <c r="L82" i="15" s="1"/>
  <c r="N82" i="15" s="1"/>
  <c r="E82" i="15"/>
  <c r="M82" i="15"/>
  <c r="D11" i="15"/>
  <c r="D21" i="15" s="1"/>
  <c r="C40" i="4"/>
  <c r="B37" i="5"/>
  <c r="D37" i="5" s="1"/>
  <c r="H37" i="5" s="1"/>
  <c r="H55" i="15"/>
  <c r="N55" i="15" s="1"/>
  <c r="E55" i="15"/>
  <c r="C55" i="6"/>
  <c r="M55" i="15"/>
  <c r="B16" i="15"/>
  <c r="C24" i="6"/>
  <c r="K25" i="7"/>
  <c r="L58" i="7"/>
  <c r="H59" i="7" s="1"/>
  <c r="D55" i="6"/>
  <c r="E55" i="6" l="1"/>
  <c r="B56" i="6" s="1"/>
  <c r="O55" i="15"/>
  <c r="D24" i="6"/>
  <c r="E24" i="6" s="1"/>
  <c r="L25" i="7"/>
  <c r="B22" i="5" s="1"/>
  <c r="D22" i="5" s="1"/>
  <c r="H22" i="5" s="1"/>
  <c r="L40" i="4"/>
  <c r="C71" i="15"/>
  <c r="O82" i="15"/>
  <c r="C53" i="4"/>
  <c r="C83" i="15" s="1"/>
  <c r="H83" i="15" s="1"/>
  <c r="B49" i="5"/>
  <c r="D49" i="5" s="1"/>
  <c r="H49" i="5" s="1"/>
  <c r="H71" i="15" l="1"/>
  <c r="N71" i="15" s="1"/>
  <c r="E71" i="15"/>
  <c r="M71" i="15"/>
  <c r="C16" i="15"/>
  <c r="K44" i="7"/>
  <c r="C42" i="6"/>
  <c r="C285" i="10"/>
  <c r="D285" i="10" s="1"/>
  <c r="C50" i="5" s="1"/>
  <c r="O71" i="15" l="1"/>
  <c r="D42" i="6"/>
  <c r="E42" i="6" s="1"/>
  <c r="L44" i="7"/>
  <c r="B38" i="5" s="1"/>
  <c r="D38" i="5" s="1"/>
  <c r="H38" i="5" s="1"/>
  <c r="K53" i="4"/>
  <c r="D286" i="10"/>
  <c r="L53" i="4" l="1"/>
  <c r="B83" i="15"/>
  <c r="C51" i="5"/>
  <c r="D287" i="10"/>
  <c r="G83" i="15" l="1"/>
  <c r="N83" i="15" s="1"/>
  <c r="E83" i="15"/>
  <c r="M83" i="15"/>
  <c r="D12" i="15"/>
  <c r="D22" i="15" s="1"/>
  <c r="K59" i="7"/>
  <c r="C56" i="6"/>
  <c r="D288" i="10"/>
  <c r="C52" i="5"/>
  <c r="L59" i="7" l="1"/>
  <c r="H60" i="7" s="1"/>
  <c r="D56" i="6"/>
  <c r="E56" i="6" s="1"/>
  <c r="B57" i="6" s="1"/>
  <c r="O83" i="15"/>
  <c r="C53" i="5"/>
  <c r="D289" i="10"/>
  <c r="B50" i="5" l="1"/>
  <c r="D50" i="5" s="1"/>
  <c r="H50" i="5" s="1"/>
  <c r="C54" i="4"/>
  <c r="L54" i="4" l="1"/>
  <c r="C84" i="15"/>
  <c r="H84" i="15" l="1"/>
  <c r="N84" i="15" s="1"/>
  <c r="E84" i="15"/>
  <c r="M84" i="15"/>
  <c r="D13" i="15"/>
  <c r="C57" i="6"/>
  <c r="K60" i="7"/>
  <c r="D57" i="6" l="1"/>
  <c r="E57" i="6" s="1"/>
  <c r="B58" i="6" s="1"/>
  <c r="L60" i="7"/>
  <c r="H61" i="7" s="1"/>
  <c r="O84" i="15"/>
  <c r="C55" i="4" l="1"/>
  <c r="B51" i="5"/>
  <c r="D51" i="5" s="1"/>
  <c r="H51" i="5" s="1"/>
  <c r="L55" i="4" l="1"/>
  <c r="C85" i="15"/>
  <c r="H85" i="15" l="1"/>
  <c r="N85" i="15" s="1"/>
  <c r="E85" i="15"/>
  <c r="M85" i="15"/>
  <c r="D14" i="15"/>
  <c r="K61" i="7"/>
  <c r="C58" i="6"/>
  <c r="D58" i="6" l="1"/>
  <c r="E58" i="6" s="1"/>
  <c r="B59" i="6" s="1"/>
  <c r="L61" i="7"/>
  <c r="H62" i="7" s="1"/>
  <c r="O85" i="15"/>
  <c r="B52" i="5" l="1"/>
  <c r="D52" i="5" s="1"/>
  <c r="H52" i="5" s="1"/>
  <c r="C56" i="4"/>
  <c r="L56" i="4" l="1"/>
  <c r="C86" i="15"/>
  <c r="K62" i="7" l="1"/>
  <c r="M86" i="15"/>
  <c r="D15" i="15"/>
  <c r="C59" i="6"/>
  <c r="H86" i="15"/>
  <c r="N86" i="15" s="1"/>
  <c r="E86" i="15"/>
  <c r="O86" i="15" l="1"/>
  <c r="D59" i="6"/>
  <c r="E59" i="6" s="1"/>
  <c r="L62" i="7"/>
  <c r="H63" i="7" s="1"/>
  <c r="B60" i="6" l="1"/>
  <c r="B53" i="5"/>
  <c r="D53" i="5" s="1"/>
  <c r="H53" i="5" s="1"/>
  <c r="C57" i="4"/>
  <c r="L57" i="4" l="1"/>
  <c r="C87" i="15"/>
  <c r="H87" i="15" l="1"/>
  <c r="N87" i="15" s="1"/>
  <c r="E87" i="15"/>
  <c r="M87" i="15"/>
  <c r="D16" i="15"/>
  <c r="C60" i="6"/>
  <c r="K63" i="7"/>
  <c r="D60" i="6" l="1"/>
  <c r="E60" i="6" s="1"/>
  <c r="L63" i="7"/>
  <c r="B54" i="5" s="1"/>
  <c r="D54" i="5" s="1"/>
  <c r="H54" i="5" s="1"/>
  <c r="O87" i="15"/>
</calcChain>
</file>

<file path=xl/sharedStrings.xml><?xml version="1.0" encoding="utf-8"?>
<sst xmlns="http://schemas.openxmlformats.org/spreadsheetml/2006/main" count="1023" uniqueCount="191">
  <si>
    <t xml:space="preserve">Policy </t>
  </si>
  <si>
    <t>Year</t>
  </si>
  <si>
    <t>Mortality</t>
  </si>
  <si>
    <t>Rate</t>
  </si>
  <si>
    <t>Premium</t>
  </si>
  <si>
    <t>Expense</t>
  </si>
  <si>
    <t>Commission</t>
  </si>
  <si>
    <t>Investment</t>
  </si>
  <si>
    <t>Income</t>
  </si>
  <si>
    <t>Maintenance</t>
  </si>
  <si>
    <t>Acquisition</t>
  </si>
  <si>
    <t>Surrender</t>
  </si>
  <si>
    <t>GAAP</t>
  </si>
  <si>
    <t>DAC</t>
  </si>
  <si>
    <t>Assets</t>
  </si>
  <si>
    <t>Equity</t>
  </si>
  <si>
    <t>Shareholder</t>
  </si>
  <si>
    <t>Dividend</t>
  </si>
  <si>
    <t>Total</t>
  </si>
  <si>
    <t>Amortization</t>
  </si>
  <si>
    <t>Input</t>
  </si>
  <si>
    <t>Number of policies</t>
  </si>
  <si>
    <t>Account</t>
  </si>
  <si>
    <t>General</t>
  </si>
  <si>
    <t>Yield</t>
  </si>
  <si>
    <t>Deferrable</t>
  </si>
  <si>
    <t>Per Policy</t>
  </si>
  <si>
    <t>Acquistion</t>
  </si>
  <si>
    <t>Defble Acq</t>
  </si>
  <si>
    <t>Actuarial balances</t>
  </si>
  <si>
    <t>End of</t>
  </si>
  <si>
    <t>Policies</t>
  </si>
  <si>
    <t>Deaths</t>
  </si>
  <si>
    <t>Surrenders</t>
  </si>
  <si>
    <t>Census</t>
  </si>
  <si>
    <t>End of year</t>
  </si>
  <si>
    <t>Non-Commission</t>
  </si>
  <si>
    <t>Expenses</t>
  </si>
  <si>
    <t>DAC rollforward</t>
  </si>
  <si>
    <t>Deferrals</t>
  </si>
  <si>
    <t>Income Statement</t>
  </si>
  <si>
    <t>Non-defble</t>
  </si>
  <si>
    <t>General Acct</t>
  </si>
  <si>
    <t>Death</t>
  </si>
  <si>
    <t>Benefits</t>
  </si>
  <si>
    <t>in Reserve</t>
  </si>
  <si>
    <t>Net</t>
  </si>
  <si>
    <t>Non-defbl</t>
  </si>
  <si>
    <t>Invested asset rollforward</t>
  </si>
  <si>
    <t>General account asset rollforward</t>
  </si>
  <si>
    <t>Dividends</t>
  </si>
  <si>
    <t>Invested</t>
  </si>
  <si>
    <t>Balance sheet</t>
  </si>
  <si>
    <t>Liabilities</t>
  </si>
  <si>
    <t>GAAP Equity Rollforward</t>
  </si>
  <si>
    <t xml:space="preserve">Beg of </t>
  </si>
  <si>
    <t xml:space="preserve">Premium </t>
  </si>
  <si>
    <t>Tax</t>
  </si>
  <si>
    <t>Per Unit</t>
  </si>
  <si>
    <t>Net Inv</t>
  </si>
  <si>
    <t>Cash Value</t>
  </si>
  <si>
    <t>Discount</t>
  </si>
  <si>
    <t>Reserve</t>
  </si>
  <si>
    <t>Change</t>
  </si>
  <si>
    <t>Interest</t>
  </si>
  <si>
    <t>Average units per policy</t>
  </si>
  <si>
    <t>Units</t>
  </si>
  <si>
    <t>Net Premium Determination</t>
  </si>
  <si>
    <t>Factor</t>
  </si>
  <si>
    <t>PV Premium</t>
  </si>
  <si>
    <t>Interest Rate</t>
  </si>
  <si>
    <t>B.O.Y.</t>
  </si>
  <si>
    <t>.EO.Y.</t>
  </si>
  <si>
    <t>PV</t>
  </si>
  <si>
    <t>Number of</t>
  </si>
  <si>
    <t>Unit</t>
  </si>
  <si>
    <t>PV Total</t>
  </si>
  <si>
    <t>Total Present Value</t>
  </si>
  <si>
    <t>As a percent of PV Premiums</t>
  </si>
  <si>
    <t>Net premium / Gross premium</t>
  </si>
  <si>
    <t>Reserve calculation (retrospective method)</t>
  </si>
  <si>
    <t>Net Premium</t>
  </si>
  <si>
    <t>Required</t>
  </si>
  <si>
    <t>E.O.Y.</t>
  </si>
  <si>
    <t>As of issue date</t>
  </si>
  <si>
    <t>25% additional mortality in year 5</t>
  </si>
  <si>
    <t>Sum</t>
  </si>
  <si>
    <t>During</t>
  </si>
  <si>
    <t>of deferrable</t>
  </si>
  <si>
    <t>Percent</t>
  </si>
  <si>
    <t>expenses</t>
  </si>
  <si>
    <t>from original schedule</t>
  </si>
  <si>
    <t>newly calculated</t>
  </si>
  <si>
    <t>Notes</t>
  </si>
  <si>
    <t>of DAC at</t>
  </si>
  <si>
    <t>end of year 5</t>
  </si>
  <si>
    <t>from second schedule</t>
  </si>
  <si>
    <t>Per Death</t>
  </si>
  <si>
    <t>Claims</t>
  </si>
  <si>
    <t xml:space="preserve">PV </t>
  </si>
  <si>
    <t>Reserve calculation (prospective method)</t>
  </si>
  <si>
    <t>Policy</t>
  </si>
  <si>
    <t xml:space="preserve">PV of </t>
  </si>
  <si>
    <t>Net Premiums</t>
  </si>
  <si>
    <t>PV of Claims</t>
  </si>
  <si>
    <t xml:space="preserve">E.O.Y </t>
  </si>
  <si>
    <t xml:space="preserve">DAC True Up </t>
  </si>
  <si>
    <t xml:space="preserve">at end of </t>
  </si>
  <si>
    <t>year 5</t>
  </si>
  <si>
    <t>Extra Amortization of</t>
  </si>
  <si>
    <t>Base Case</t>
  </si>
  <si>
    <t>Extra Mortality Year 5</t>
  </si>
  <si>
    <t>Extra Mortality Years 5+</t>
  </si>
  <si>
    <t xml:space="preserve">Acquisition </t>
  </si>
  <si>
    <t>Costs</t>
  </si>
  <si>
    <t xml:space="preserve">Interest </t>
  </si>
  <si>
    <t>Spread</t>
  </si>
  <si>
    <t>&amp; Benefits</t>
  </si>
  <si>
    <t xml:space="preserve">over Expenses </t>
  </si>
  <si>
    <t xml:space="preserve">Net </t>
  </si>
  <si>
    <t>Premium Loading</t>
  </si>
  <si>
    <t>Earnings by Source - Base Case</t>
  </si>
  <si>
    <t>Earnings by Source - Extra mortality in year 5</t>
  </si>
  <si>
    <t>Earnings by Source - Extra mortality in years 5+</t>
  </si>
  <si>
    <t>Loading</t>
  </si>
  <si>
    <t>Unlock</t>
  </si>
  <si>
    <t xml:space="preserve">Benefit </t>
  </si>
  <si>
    <t>Deviation</t>
  </si>
  <si>
    <t>Other</t>
  </si>
  <si>
    <t>As a percent of PV of premiums:</t>
  </si>
  <si>
    <t>Maint.</t>
  </si>
  <si>
    <t>Gross</t>
  </si>
  <si>
    <t>Total PV:</t>
  </si>
  <si>
    <t xml:space="preserve">Sum of </t>
  </si>
  <si>
    <t>Current and</t>
  </si>
  <si>
    <t>Future Units</t>
  </si>
  <si>
    <t>outstanding</t>
  </si>
  <si>
    <t>Amort % of</t>
  </si>
  <si>
    <t>Asset</t>
  </si>
  <si>
    <t>(end of year)</t>
  </si>
  <si>
    <t>Non-def</t>
  </si>
  <si>
    <t>Reserves</t>
  </si>
  <si>
    <t>Table 15-12</t>
  </si>
  <si>
    <t>Table 5-13 Baseline net premium ratio</t>
  </si>
  <si>
    <t>Table 5-14 Baseline reserves</t>
  </si>
  <si>
    <t>Table 5-15 Baseline DAC</t>
  </si>
  <si>
    <t>Table 5-17 Higher mortality in year 5 - net premium ratio</t>
  </si>
  <si>
    <t>Table 5-18 Higher claims in year 5 - reserves</t>
  </si>
  <si>
    <t>Table 5-19 Higher claims in year 5 - DAC - alternative</t>
  </si>
  <si>
    <t>Table 5-22 Higher mortality - net premium ratio</t>
  </si>
  <si>
    <t>Table 5-23 Higher mortality assumptions - reserves</t>
  </si>
  <si>
    <t>Table 5-26</t>
  </si>
  <si>
    <t>Table 5-27</t>
  </si>
  <si>
    <t>Table 5-28</t>
  </si>
  <si>
    <t>Table 5-16</t>
  </si>
  <si>
    <t>Table 5-20</t>
  </si>
  <si>
    <t>Table 5-24</t>
  </si>
  <si>
    <t>Society of Actuaries</t>
  </si>
  <si>
    <t>Product Type</t>
  </si>
  <si>
    <t>Disclaimer</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</si>
  <si>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</si>
  <si>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</si>
  <si>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</si>
  <si>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</si>
  <si>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</si>
  <si>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Modeling Scenarios</t>
  </si>
  <si>
    <t xml:space="preserve">Three scenarios are presented in the following tabs. </t>
  </si>
  <si>
    <t>Copyright © 2024 by the Society of Actuaries. All rights reserved.</t>
  </si>
  <si>
    <t>US GAAP for Insurers - 3rd edition</t>
  </si>
  <si>
    <t>Nonparticipating Traditional Life Insurance</t>
  </si>
  <si>
    <t>Table numbers, where applicable, are consistent with the numbers in the book.</t>
  </si>
  <si>
    <t>There is a scheduled cash value to the policyholder on policy surrender.</t>
  </si>
  <si>
    <t>There are level premiums.</t>
  </si>
  <si>
    <t>This spreadsheet is not intended to be a financial reporting or valuation system.  It was developed solely for the purpose of constructing numerical examples for the text and is not suitable for any other application.</t>
  </si>
  <si>
    <t>Product Characteristics</t>
  </si>
  <si>
    <t>The product modeled is a 10-year endowment policy.  There is a fixed face amount, payable at death or the end of the endowment period, if the policyholder survives.</t>
  </si>
  <si>
    <t>Modeling Assumptions</t>
  </si>
  <si>
    <t>Premiums, commissions, acquisition and maintenance expenses are assumed to be paid at the beginning of the policy year.</t>
  </si>
  <si>
    <t>Deaths, claim expenses, and lapses are assumed to occur at the end of the policy year.</t>
  </si>
  <si>
    <t>For simplicity, dividends paid to shareholders are assumed to be the full amount of GAAP profits earned during the period.</t>
  </si>
  <si>
    <t>The modeled policies represent a cohort of 1,000 policies issued.  Each policy is insured for 100 units, where each unit equals 1,000 of face amount.</t>
  </si>
  <si>
    <t>1) As of issue date: Represents the base case scenario, where experience develops as originally expected.</t>
  </si>
  <si>
    <t>Hard-coded / assumption inputs have text colored blue.</t>
  </si>
  <si>
    <t>Formulas have text colored black.</t>
  </si>
  <si>
    <t>Version: 2024 04</t>
  </si>
  <si>
    <t>2) 25% additional mortality in year 5: Represents a scenario in which there is a mortality shock in year 5.  Mortality returns to originally expected levels in years 6-10.</t>
  </si>
  <si>
    <t>3) 25% additional mortality in year 5, and at EOY 5, assumed 5% additional mortality in years 6+: Represents a scenario in which there is a mortality shock in year 5 and assumed mortality increases at that point in years 6-10.</t>
  </si>
  <si>
    <t>25% additional mortality in year 5, and at EOY 5, assumed 5% additional mortality in years 6+</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</si>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</sst>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8" formatCode="&quot;$&quot;#,##0.00_);[Red]\(&quot;$&quot;#,##0.00\)"/>
    <numFmt numFmtId="43" formatCode="_(* #,##0.00_);_(* \(#,##0.00\);_(* &quot;-&quot;??_);_(@_)"/>
    <numFmt numFmtId="164" formatCode="0.0%"/>
    <numFmt numFmtId="165" formatCode="_(* #,##0_);_(* \(#,##0\);_(* &quot;-&quot;??_);_(@_)"/>
    <numFmt numFmtId="166" formatCode="_(* #,##0.0_);_(* \(#,##0.0\);_(* &quot;-&quot;??_);_(@_)"/>
    <numFmt numFmtId="167" formatCode="_(* #,##0.0000_);_(* \(#,##0.0000\);_(* &quot;-&quot;??_);_(@_)"/>
    <numFmt numFmtId="168" formatCode="_(* #,##0_);_(* \(#,##0\);_(* &quot;-&quot;?_);_(@_)"/>
    <numFmt numFmtId="169" formatCode="0.0000"/>
    <numFmt numFmtId="170" formatCode="0.00000"/>
    <numFmt numFmtId="171" formatCode="0.000%"/>
    <numFmt numFmtId="172" formatCode="0.000000"/>
    <numFmt numFmtId="173" formatCode="_(* #,##0.000000_);_(* \(#,##0.00000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sz val="10"/>
      <name val="Arial"/>
      <family val="2"/>
    </font>
    <font>
      <b/>
      <i/>
      <sz val="11"/>
      <color rgb="FFFF0000"/>
      <name val="Calibri"/>
      <family val="2"/>
      <scheme val="minor"/>
    </font>
    <font>
      <sz val="11"/>
      <color rgb="FF0070C0"/>
      <name val="Calibri"/>
      <family val="2"/>
      <scheme val="minor"/>
    </font>
    <font>
      <b/>
      <sz val="11"/>
      <color rgb="FF0070C0"/>
      <name val="Calibri"/>
      <family val="2"/>
      <scheme val="minor"/>
    </font>
    <font>
      <b/>
      <sz val="11"/>
      <color rgb="FFFF0000"/>
      <name val="Calibri"/>
      <family val="2"/>
      <scheme val="minor"/>
    </font>
    <font>
      <sz val="11"/>
      <name val="Calibri"/>
      <family val="2"/>
      <scheme val="minor"/>
    </font>
    <font>
      <b/>
      <sz val="11"/>
      <name val="Calibri"/>
      <family val="2"/>
      <scheme val="minor"/>
    </font>
    <font>
      <i/>
      <sz val="11"/>
      <name val="Calibri"/>
      <family val="2"/>
      <scheme val="minor"/>
    </font>
    <font>
      <sz val="10"/>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77">
    <xf numFmtId="0" fontId="0" fillId="0" borderId="0" xfId="0"/>
    <xf numFmtId="0" fontId="2" fillId="0" borderId="0" xfId="0" applyFont="1"/>
    <xf numFmtId="0" fontId="3" fillId="0" borderId="0" xfId="0" applyFont="1" applyAlignment="1">
      <alignment horizontal="right"/>
    </xf>
    <xf numFmtId="0" fontId="3" fillId="0" borderId="0" xfId="0" applyFont="1"/>
    <xf numFmtId="0" fontId="2" fillId="0" borderId="0" xfId="0" quotePrefix="1" applyFont="1"/>
    <xf numFmtId="0" fontId="3" fillId="0" borderId="0" xfId="0" applyFont="1" applyAlignment="1">
      <alignment horizontal="left"/>
    </xf>
    <xf numFmtId="0" fontId="5" fillId="0" borderId="0" xfId="0" applyFont="1"/>
    <xf numFmtId="165" fontId="6" fillId="0" borderId="0" xfId="1" applyNumberFormat="1" applyFont="1"/>
    <xf numFmtId="43" fontId="6" fillId="0" borderId="0" xfId="1" applyFont="1"/>
    <xf numFmtId="10" fontId="6" fillId="0" borderId="0" xfId="2" applyNumberFormat="1" applyFont="1"/>
    <xf numFmtId="164" fontId="6" fillId="0" borderId="0" xfId="2" applyNumberFormat="1" applyFont="1"/>
    <xf numFmtId="170" fontId="6" fillId="0" borderId="0" xfId="0" applyNumberFormat="1" applyFont="1"/>
    <xf numFmtId="170" fontId="7" fillId="0" borderId="0" xfId="0" applyNumberFormat="1" applyFont="1"/>
    <xf numFmtId="0" fontId="1" fillId="0" borderId="0" xfId="0" applyFont="1"/>
    <xf numFmtId="0" fontId="8" fillId="0" borderId="0" xfId="3" applyFont="1"/>
    <xf numFmtId="0" fontId="9" fillId="0" borderId="0" xfId="3" applyFont="1"/>
    <xf numFmtId="0" fontId="10" fillId="0" borderId="0" xfId="3" applyFont="1"/>
    <xf numFmtId="0" fontId="6" fillId="0" borderId="0" xfId="3" applyFont="1"/>
    <xf numFmtId="0" fontId="9" fillId="0" borderId="0" xfId="3" quotePrefix="1" applyFont="1"/>
    <xf numFmtId="10" fontId="1" fillId="0" borderId="0" xfId="2" applyNumberFormat="1" applyFont="1"/>
    <xf numFmtId="0" fontId="1" fillId="0" borderId="0" xfId="0" applyFont="1" applyAlignment="1">
      <alignment horizontal="right"/>
    </xf>
    <xf numFmtId="0" fontId="1" fillId="0" borderId="0" xfId="0" applyFont="1" applyAlignment="1">
      <alignment horizontal="center"/>
    </xf>
    <xf numFmtId="43" fontId="1" fillId="0" borderId="0" xfId="1" applyFont="1"/>
    <xf numFmtId="164" fontId="1" fillId="0" borderId="0" xfId="2" applyNumberFormat="1" applyFont="1"/>
    <xf numFmtId="165" fontId="1" fillId="0" borderId="0" xfId="1" applyNumberFormat="1" applyFont="1"/>
    <xf numFmtId="167" fontId="1" fillId="0" borderId="0" xfId="1" applyNumberFormat="1" applyFont="1"/>
    <xf numFmtId="164" fontId="1" fillId="0" borderId="0" xfId="0" applyNumberFormat="1" applyFont="1"/>
    <xf numFmtId="170" fontId="1" fillId="0" borderId="0" xfId="0" applyNumberFormat="1" applyFont="1"/>
    <xf numFmtId="166" fontId="1" fillId="0" borderId="0" xfId="1" applyNumberFormat="1" applyFont="1"/>
    <xf numFmtId="168" fontId="1" fillId="0" borderId="0" xfId="0" applyNumberFormat="1" applyFont="1"/>
    <xf numFmtId="171" fontId="1" fillId="0" borderId="0" xfId="2" applyNumberFormat="1" applyFont="1"/>
    <xf numFmtId="9" fontId="1" fillId="0" borderId="0" xfId="2" applyFont="1"/>
    <xf numFmtId="10" fontId="1" fillId="0" borderId="0" xfId="0" applyNumberFormat="1" applyFont="1"/>
    <xf numFmtId="169" fontId="1" fillId="0" borderId="0" xfId="0" applyNumberFormat="1" applyFont="1" applyAlignment="1">
      <alignment horizontal="right"/>
    </xf>
    <xf numFmtId="169" fontId="1" fillId="0" borderId="0" xfId="0" applyNumberFormat="1" applyFont="1"/>
    <xf numFmtId="165" fontId="1" fillId="0" borderId="0" xfId="0" applyNumberFormat="1" applyFont="1"/>
    <xf numFmtId="8" fontId="1" fillId="0" borderId="0" xfId="0" applyNumberFormat="1" applyFont="1"/>
    <xf numFmtId="166" fontId="1" fillId="0" borderId="0" xfId="0" applyNumberFormat="1" applyFont="1"/>
    <xf numFmtId="3" fontId="1" fillId="0" borderId="0" xfId="0" applyNumberFormat="1" applyFont="1"/>
    <xf numFmtId="0" fontId="1" fillId="0" borderId="0" xfId="0" applyFont="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right" vertical="top"/>
    </xf>
    <xf numFmtId="10" fontId="1" fillId="0" borderId="1" xfId="2" applyNumberFormat="1" applyFont="1" applyBorder="1" applyAlignment="1">
      <alignment horizontal="right" vertical="top"/>
    </xf>
    <xf numFmtId="165" fontId="1" fillId="0" borderId="1" xfId="1" applyNumberFormat="1" applyFont="1" applyBorder="1" applyAlignment="1">
      <alignment horizontal="right" vertical="top"/>
    </xf>
    <xf numFmtId="0" fontId="1" fillId="0" borderId="1" xfId="0" applyFont="1" applyBorder="1"/>
    <xf numFmtId="165" fontId="1" fillId="0" borderId="1" xfId="1" applyNumberFormat="1" applyFont="1" applyBorder="1"/>
    <xf numFmtId="43" fontId="1" fillId="0" borderId="1" xfId="1" applyFont="1" applyBorder="1"/>
    <xf numFmtId="0" fontId="1" fillId="0" borderId="1" xfId="0" applyFont="1" applyBorder="1" applyAlignment="1">
      <alignment horizontal="left" vertical="top"/>
    </xf>
    <xf numFmtId="43" fontId="1" fillId="0" borderId="1" xfId="1" applyFont="1" applyBorder="1" applyAlignment="1">
      <alignment horizontal="right" vertical="top"/>
    </xf>
    <xf numFmtId="173" fontId="1" fillId="0" borderId="1" xfId="1" applyNumberFormat="1" applyFont="1" applyBorder="1" applyAlignment="1">
      <alignment horizontal="right" vertical="top"/>
    </xf>
    <xf numFmtId="173" fontId="1" fillId="0" borderId="1" xfId="0" applyNumberFormat="1" applyFont="1" applyBorder="1" applyAlignment="1">
      <alignment horizontal="right" vertical="top"/>
    </xf>
    <xf numFmtId="170" fontId="1" fillId="0" borderId="1" xfId="0" applyNumberFormat="1" applyFont="1" applyBorder="1" applyAlignment="1">
      <alignment horizontal="right" vertical="top"/>
    </xf>
    <xf numFmtId="172" fontId="1" fillId="0" borderId="1" xfId="0" applyNumberFormat="1" applyFont="1" applyBorder="1" applyAlignment="1">
      <alignment horizontal="right" vertical="top"/>
    </xf>
    <xf numFmtId="0" fontId="1" fillId="0" borderId="1" xfId="0" applyFont="1" applyBorder="1" applyAlignment="1">
      <alignment vertical="center"/>
    </xf>
    <xf numFmtId="165" fontId="1" fillId="0" borderId="1" xfId="1" applyNumberFormat="1" applyFont="1" applyBorder="1" applyAlignment="1">
      <alignment vertical="center"/>
    </xf>
    <xf numFmtId="0" fontId="1" fillId="0" borderId="7" xfId="0" applyFont="1" applyBorder="1" applyAlignment="1">
      <alignment horizontal="center" vertical="center"/>
    </xf>
    <xf numFmtId="165" fontId="1" fillId="0" borderId="1" xfId="0" applyNumberFormat="1" applyFont="1" applyBorder="1"/>
    <xf numFmtId="171" fontId="1" fillId="0" borderId="1" xfId="2" applyNumberFormat="1" applyFont="1" applyBorder="1"/>
    <xf numFmtId="0" fontId="1" fillId="0" borderId="3" xfId="0" applyFont="1" applyBorder="1"/>
    <xf numFmtId="165" fontId="1" fillId="0" borderId="3" xfId="1" applyNumberFormat="1" applyFont="1" applyBorder="1"/>
    <xf numFmtId="165" fontId="1" fillId="0" borderId="3" xfId="0" applyNumberFormat="1" applyFont="1" applyBorder="1"/>
    <xf numFmtId="171" fontId="1" fillId="0" borderId="3" xfId="2" applyNumberFormat="1" applyFont="1" applyBorder="1"/>
    <xf numFmtId="0" fontId="1" fillId="0" borderId="8" xfId="0" applyFont="1" applyBorder="1"/>
    <xf numFmtId="165" fontId="1" fillId="0" borderId="8" xfId="1" applyNumberFormat="1" applyFont="1" applyBorder="1"/>
    <xf numFmtId="165" fontId="1" fillId="0" borderId="8" xfId="0" applyNumberFormat="1" applyFont="1" applyBorder="1"/>
    <xf numFmtId="171" fontId="1" fillId="0" borderId="8" xfId="2" applyNumberFormat="1" applyFont="1" applyBorder="1"/>
    <xf numFmtId="43" fontId="1" fillId="0" borderId="0" xfId="0" applyNumberFormat="1" applyFont="1"/>
    <xf numFmtId="0" fontId="0" fillId="0" borderId="0" xfId="0" quotePrefix="1"/>
    <xf numFmtId="0" fontId="12" fillId="0" borderId="0" xfId="3" applyFont="1"/>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0" xfId="0" quotePrefix="1" applyFont="1" applyAlignment="1">
      <alignment horizontal="center"/>
    </xf>
    <xf numFmtId="0" fontId="1" fillId="0" borderId="4" xfId="0" applyFont="1" applyBorder="1" applyAlignment="1">
      <alignment horizontal="left" vertical="top"/>
    </xf>
    <xf numFmtId="0" fontId="1" fillId="0" borderId="5" xfId="0" applyFont="1" applyBorder="1" applyAlignment="1">
      <alignment horizontal="left" vertical="top"/>
    </xf>
    <xf numFmtId="0" fontId="1" fillId="0" borderId="6" xfId="0" applyFont="1" applyBorder="1" applyAlignment="1">
      <alignment horizontal="left" vertical="top"/>
    </xf>
    <xf numFmtId="0" fontId="1" fillId="0" borderId="9" xfId="0" applyFont="1" applyBorder="1" applyAlignment="1">
      <alignment horizontal="left"/>
    </xf>
  </cellXfs>
  <cellStyles count="4">
    <cellStyle name="Comma" xfId="1" builtinId="3"/>
    <cellStyle name="Normal" xfId="0" builtinId="0"/>
    <cellStyle name="Normal 12" xfId="3" xr:uid="{EBF90B52-EFBC-4075-A9B5-6F2C867FD5BD}"/>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'Income chart'!$B$6</c:f>
              <c:strCache>
                <c:ptCount val="1"/>
                <c:pt idx="0">
                  <c:v>Base Case</c:v>
                </c:pt>
              </c:strCache>
            </c:strRef>
          </c:tx>
          <c:xVal>
            <c:numRef>
              <c:f>'Income chart'!$A$7:$A$16</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'Income chart'!$B$7:$B$16</c:f>
              <c:numCache>
                <c:formatCode>General</c:formatCode>
                <c:ptCount val="10"/>
                <c:pt idx="0">
                  <c:v>-158172.20639250951</c:v>
                </c:pt>
                <c:pt idx="1">
                  <c:v>-24966.43511224119</c:v>
                </c:pt>
                <c:pt idx="2">
                  <c:v>3415.2003332249587</c:v>
                </c:pt>
                <c:pt idx="3">
                  <c:v>30588.794972586795</c:v>
                </c:pt>
                <c:pt idx="4">
                  <c:v>55774.349942253204</c:v>
                </c:pt>
                <c:pt idx="5">
                  <c:v>79690.963999873959</c:v>
                </c:pt>
                <c:pt idx="6">
                  <c:v>102923.72729756485</c:v>
                </c:pt>
                <c:pt idx="7">
                  <c:v>125946.53997202532</c:v>
                </c:pt>
                <c:pt idx="8">
                  <c:v>149183.78359801491</c:v>
                </c:pt>
                <c:pt idx="9">
                  <c:v>173023.7864928128</c:v>
                </c:pt>
              </c:numCache>
            </c:numRef>
          </c:yVal>
          <c:smooth val="1"/>
          <c:extLst>
            <c:ext xmlns:c16="http://schemas.microsoft.com/office/drawing/2014/chart" uri="{C3380CC4-5D6E-409C-BE32-E72D297353CC}">
              <c16:uniqueId val="{00000000-686E-4B8A-A7AD-54E23BFAA3C4}"/>
            </c:ext>
          </c:extLst>
        </c:ser>
        <c:ser>
          <c:idx val="1"/>
          <c:order val="1"/>
          <c:tx>
            <c:strRef>
              <c:f>'Income chart'!$C$6</c:f>
              <c:strCache>
                <c:ptCount val="1"/>
                <c:pt idx="0">
                  <c:v>Extra Mortality Year 5</c:v>
                </c:pt>
              </c:strCache>
            </c:strRef>
          </c:tx>
          <c:xVal>
            <c:numRef>
              <c:f>'Income chart'!$A$7:$A$16</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'Income chart'!$C$7:$C$16</c:f>
              <c:numCache>
                <c:formatCode>General</c:formatCode>
                <c:ptCount val="10"/>
                <c:pt idx="0">
                  <c:v>-158172.20639250951</c:v>
                </c:pt>
                <c:pt idx="1">
                  <c:v>-24966.43511224119</c:v>
                </c:pt>
                <c:pt idx="2">
                  <c:v>3415.2003332249587</c:v>
                </c:pt>
                <c:pt idx="3">
                  <c:v>30588.794972586795</c:v>
                </c:pt>
                <c:pt idx="4">
                  <c:v>47974.991441946593</c:v>
                </c:pt>
                <c:pt idx="5">
                  <c:v>78731.075173238874</c:v>
                </c:pt>
                <c:pt idx="6">
                  <c:v>102024.31134114187</c:v>
                </c:pt>
                <c:pt idx="7">
                  <c:v>125094.43834577879</c:v>
                </c:pt>
                <c:pt idx="8">
                  <c:v>148367.7234556246</c:v>
                </c:pt>
                <c:pt idx="9">
                  <c:v>172233.92307801056</c:v>
                </c:pt>
              </c:numCache>
            </c:numRef>
          </c:yVal>
          <c:smooth val="1"/>
          <c:extLst>
            <c:ext xmlns:c16="http://schemas.microsoft.com/office/drawing/2014/chart" uri="{C3380CC4-5D6E-409C-BE32-E72D297353CC}">
              <c16:uniqueId val="{00000001-686E-4B8A-A7AD-54E23BFAA3C4}"/>
            </c:ext>
          </c:extLst>
        </c:ser>
        <c:ser>
          <c:idx val="2"/>
          <c:order val="2"/>
          <c:tx>
            <c:strRef>
              <c:f>'Income chart'!$D$6</c:f>
              <c:strCache>
                <c:ptCount val="1"/>
                <c:pt idx="0">
                  <c:v>Extra Mortality Years 5+</c:v>
                </c:pt>
              </c:strCache>
            </c:strRef>
          </c:tx>
          <c:xVal>
            <c:numRef>
              <c:f>'Income chart'!$A$7:$A$16</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'Income chart'!$D$7:$D$16</c:f>
              <c:numCache>
                <c:formatCode>General</c:formatCode>
                <c:ptCount val="10"/>
                <c:pt idx="0">
                  <c:v>-158172.20639250951</c:v>
                </c:pt>
                <c:pt idx="1">
                  <c:v>-24966.43511224119</c:v>
                </c:pt>
                <c:pt idx="2">
                  <c:v>3415.2003332249587</c:v>
                </c:pt>
                <c:pt idx="3">
                  <c:v>30588.794972586795</c:v>
                </c:pt>
                <c:pt idx="4">
                  <c:v>45062.796429131296</c:v>
                </c:pt>
                <c:pt idx="5">
                  <c:v>78269.017869470175</c:v>
                </c:pt>
                <c:pt idx="6">
                  <c:v>101583.31856531405</c:v>
                </c:pt>
                <c:pt idx="7">
                  <c:v>124664.90591343312</c:v>
                </c:pt>
                <c:pt idx="8">
                  <c:v>147940.67742523446</c:v>
                </c:pt>
                <c:pt idx="9">
                  <c:v>171800.53937097773</c:v>
                </c:pt>
              </c:numCache>
            </c:numRef>
          </c:yVal>
          <c:smooth val="1"/>
          <c:extLst>
            <c:ext xmlns:c16="http://schemas.microsoft.com/office/drawing/2014/chart" uri="{C3380CC4-5D6E-409C-BE32-E72D297353CC}">
              <c16:uniqueId val="{00000002-686E-4B8A-A7AD-54E23BFAA3C4}"/>
            </c:ext>
          </c:extLst>
        </c:ser>
        <c:dLbls>
          <c:showLegendKey val="0"/>
          <c:showVal val="0"/>
          <c:showCatName val="0"/>
          <c:showSerName val="0"/>
          <c:showPercent val="0"/>
          <c:showBubbleSize val="0"/>
        </c:dLbls>
        <c:axId val="202700672"/>
        <c:axId val="202702208"/>
      </c:scatterChart>
      <c:valAx>
        <c:axId val="202700672"/>
        <c:scaling>
          <c:orientation val="minMax"/>
        </c:scaling>
        <c:delete val="0"/>
        <c:axPos val="b"/>
        <c:numFmt formatCode="General" sourceLinked="1"/>
        <c:majorTickMark val="out"/>
        <c:minorTickMark val="none"/>
        <c:tickLblPos val="nextTo"/>
        <c:crossAx val="202702208"/>
        <c:crosses val="autoZero"/>
        <c:crossBetween val="midCat"/>
      </c:valAx>
      <c:valAx>
        <c:axId val="202702208"/>
        <c:scaling>
          <c:orientation val="minMax"/>
        </c:scaling>
        <c:delete val="0"/>
        <c:axPos val="l"/>
        <c:majorGridlines/>
        <c:numFmt formatCode="General" sourceLinked="1"/>
        <c:majorTickMark val="out"/>
        <c:minorTickMark val="none"/>
        <c:tickLblPos val="nextTo"/>
        <c:crossAx val="202700672"/>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'Income chart'!$B$19</c:f>
              <c:strCache>
                <c:ptCount val="1"/>
                <c:pt idx="0">
                  <c:v>Base Case</c:v>
                </c:pt>
              </c:strCache>
            </c:strRef>
          </c:tx>
          <c:xVal>
            <c:numRef>
              <c:f>'Income chart'!$A$20:$A$24</c:f>
              <c:numCache>
                <c:formatCode>General</c:formatCode>
                <c:ptCount val="5"/>
                <c:pt idx="1">
                  <c:v>5</c:v>
                </c:pt>
                <c:pt idx="2">
                  <c:v>6</c:v>
                </c:pt>
              </c:numCache>
            </c:numRef>
          </c:xVal>
          <c:yVal>
            <c:numRef>
              <c:f>'Income chart'!$B$20:$B$24</c:f>
              <c:numCache>
                <c:formatCode>General</c:formatCode>
                <c:ptCount val="5"/>
                <c:pt idx="1">
                  <c:v>55774.349942253204</c:v>
                </c:pt>
                <c:pt idx="2">
                  <c:v>79690.963999873959</c:v>
                </c:pt>
              </c:numCache>
            </c:numRef>
          </c:yVal>
          <c:smooth val="1"/>
          <c:extLst>
            <c:ext xmlns:c16="http://schemas.microsoft.com/office/drawing/2014/chart" uri="{C3380CC4-5D6E-409C-BE32-E72D297353CC}">
              <c16:uniqueId val="{00000000-81CB-4958-89D9-FE140B457F10}"/>
            </c:ext>
          </c:extLst>
        </c:ser>
        <c:ser>
          <c:idx val="1"/>
          <c:order val="1"/>
          <c:tx>
            <c:strRef>
              <c:f>'Income chart'!$C$19</c:f>
              <c:strCache>
                <c:ptCount val="1"/>
                <c:pt idx="0">
                  <c:v>Extra Mortality Year 5</c:v>
                </c:pt>
              </c:strCache>
            </c:strRef>
          </c:tx>
          <c:xVal>
            <c:numRef>
              <c:f>'Income chart'!$A$20:$A$24</c:f>
              <c:numCache>
                <c:formatCode>General</c:formatCode>
                <c:ptCount val="5"/>
                <c:pt idx="1">
                  <c:v>5</c:v>
                </c:pt>
                <c:pt idx="2">
                  <c:v>6</c:v>
                </c:pt>
              </c:numCache>
            </c:numRef>
          </c:xVal>
          <c:yVal>
            <c:numRef>
              <c:f>'Income chart'!$C$20:$C$24</c:f>
              <c:numCache>
                <c:formatCode>General</c:formatCode>
                <c:ptCount val="5"/>
                <c:pt idx="1">
                  <c:v>47974.991441946593</c:v>
                </c:pt>
                <c:pt idx="2">
                  <c:v>78731.075173238874</c:v>
                </c:pt>
              </c:numCache>
            </c:numRef>
          </c:yVal>
          <c:smooth val="1"/>
          <c:extLst>
            <c:ext xmlns:c16="http://schemas.microsoft.com/office/drawing/2014/chart" uri="{C3380CC4-5D6E-409C-BE32-E72D297353CC}">
              <c16:uniqueId val="{00000001-81CB-4958-89D9-FE140B457F10}"/>
            </c:ext>
          </c:extLst>
        </c:ser>
        <c:ser>
          <c:idx val="2"/>
          <c:order val="2"/>
          <c:tx>
            <c:strRef>
              <c:f>'Income chart'!$D$19</c:f>
              <c:strCache>
                <c:ptCount val="1"/>
                <c:pt idx="0">
                  <c:v>Extra Mortality Years 5+</c:v>
                </c:pt>
              </c:strCache>
            </c:strRef>
          </c:tx>
          <c:xVal>
            <c:numRef>
              <c:f>'Income chart'!$A$20:$A$24</c:f>
              <c:numCache>
                <c:formatCode>General</c:formatCode>
                <c:ptCount val="5"/>
                <c:pt idx="1">
                  <c:v>5</c:v>
                </c:pt>
                <c:pt idx="2">
                  <c:v>6</c:v>
                </c:pt>
              </c:numCache>
            </c:numRef>
          </c:xVal>
          <c:yVal>
            <c:numRef>
              <c:f>'Income chart'!$D$20:$D$24</c:f>
              <c:numCache>
                <c:formatCode>General</c:formatCode>
                <c:ptCount val="5"/>
                <c:pt idx="1">
                  <c:v>45062.796429131296</c:v>
                </c:pt>
                <c:pt idx="2">
                  <c:v>78269.017869470175</c:v>
                </c:pt>
              </c:numCache>
            </c:numRef>
          </c:yVal>
          <c:smooth val="1"/>
          <c:extLst>
            <c:ext xmlns:c16="http://schemas.microsoft.com/office/drawing/2014/chart" uri="{C3380CC4-5D6E-409C-BE32-E72D297353CC}">
              <c16:uniqueId val="{00000002-81CB-4958-89D9-FE140B457F10}"/>
            </c:ext>
          </c:extLst>
        </c:ser>
        <c:dLbls>
          <c:showLegendKey val="0"/>
          <c:showVal val="0"/>
          <c:showCatName val="0"/>
          <c:showSerName val="0"/>
          <c:showPercent val="0"/>
          <c:showBubbleSize val="0"/>
        </c:dLbls>
        <c:axId val="389507328"/>
        <c:axId val="389570560"/>
      </c:scatterChart>
      <c:valAx>
        <c:axId val="389507328"/>
        <c:scaling>
          <c:orientation val="minMax"/>
        </c:scaling>
        <c:delete val="0"/>
        <c:axPos val="b"/>
        <c:numFmt formatCode="General" sourceLinked="1"/>
        <c:majorTickMark val="out"/>
        <c:minorTickMark val="none"/>
        <c:tickLblPos val="nextTo"/>
        <c:crossAx val="389570560"/>
        <c:crosses val="autoZero"/>
        <c:crossBetween val="midCat"/>
      </c:valAx>
      <c:valAx>
        <c:axId val="389570560"/>
        <c:scaling>
          <c:orientation val="minMax"/>
          <c:max val="110000"/>
          <c:min val="30000"/>
        </c:scaling>
        <c:delete val="0"/>
        <c:axPos val="l"/>
        <c:majorGridlines/>
        <c:numFmt formatCode="General" sourceLinked="1"/>
        <c:majorTickMark val="out"/>
        <c:minorTickMark val="none"/>
        <c:tickLblPos val="nextTo"/>
        <c:crossAx val="389507328"/>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231774</xdr:colOff>
      <xdr:row>5</xdr:row>
      <xdr:rowOff>50800</xdr:rowOff>
    </xdr:from>
    <xdr:to>
      <xdr:col>15</xdr:col>
      <xdr:colOff>266699</xdr:colOff>
      <xdr:row>20</xdr:row>
      <xdr:rowOff>50800</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206374</xdr:colOff>
      <xdr:row>20</xdr:row>
      <xdr:rowOff>63500</xdr:rowOff>
    </xdr:from>
    <xdr:to>
      <xdr:col>15</xdr:col>
      <xdr:colOff>285749</xdr:colOff>
      <xdr:row>40</xdr:row>
      <xdr:rowOff>95250</xdr:rowOff>
    </xdr:to>
    <xdr:graphicFrame macro="">
      <xdr:nvGraphicFramePr>
        <xdr:cNvPr id="6" name="Chart 5">
          <a:extLst>
            <a:ext uri="{FF2B5EF4-FFF2-40B4-BE49-F238E27FC236}">
              <a16:creationId xmlns:a16="http://schemas.microsoft.com/office/drawing/2014/main" id="{00000000-0008-0000-06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08788-8B29-4290-9308-5EC317F0A3EF}">
  <dimension ref="A1:W47"/>
  <sheetViews>
    <sheetView tabSelected="1" topLeftCell="A9" workbookViewId="0">
      <selection activeCell="O21" sqref="O21"/>
    </sheetView>
  </sheetViews>
  <sheetFormatPr defaultColWidth="8.85546875" defaultRowHeight="15" x14ac:dyDescent="0.25"/>
  <cols>
    <col min="1" max="3" width="1.85546875" style="15" customWidth="1"/>
    <col min="4" max="16384" width="8.85546875" style="15"/>
  </cols>
  <sheetData>
    <row r="1" spans="1:23" ht="13.35" customHeight="1" x14ac:dyDescent="0.25">
      <c r="A1" s="14" t="s">
        <v>157</v>
      </c>
      <c r="M1" s="13" t="s">
        <v>184</v>
      </c>
    </row>
    <row r="2" spans="1:23" ht="13.35" customHeight="1" x14ac:dyDescent="0.25">
      <c r="A2" s="6" t="s">
        <v>168</v>
      </c>
    </row>
    <row r="3" spans="1:23" ht="2.1" customHeight="1" x14ac:dyDescent="0.25"/>
    <row r="4" spans="1:23" ht="13.35" customHeight="1" x14ac:dyDescent="0.25">
      <c r="A4" s="16" t="s">
        <v>158</v>
      </c>
    </row>
    <row r="5" spans="1:23" ht="13.35" customHeight="1" x14ac:dyDescent="0.25">
      <c r="A5" s="17" t="s">
        <v>169</v>
      </c>
    </row>
    <row r="6" spans="1:23" ht="2.1" customHeight="1" x14ac:dyDescent="0.25">
      <c r="A6" s="14"/>
    </row>
    <row r="7" spans="1:23" ht="13.35" customHeight="1" x14ac:dyDescent="0.25">
      <c r="A7" s="1" t="s">
        <v>159</v>
      </c>
    </row>
    <row r="8" spans="1:23" ht="13.35" customHeight="1" x14ac:dyDescent="0.25">
      <c r="A8" s="1"/>
    </row>
    <row r="9" spans="1:23" ht="13.35" customHeight="1" x14ac:dyDescent="0.25">
      <c r="B9" s="15" t="s">
        <v>167</v>
      </c>
    </row>
    <row r="10" spans="1:23" ht="13.35" customHeight="1" x14ac:dyDescent="0.25"/>
    <row r="11" spans="1:23" ht="13.35" customHeight="1" x14ac:dyDescent="0.25">
      <c r="B11" s="15" t="s">
        <v>160</v>
      </c>
    </row>
    <row r="12" spans="1:23" ht="13.35" customHeight="1" x14ac:dyDescent="0.25">
      <c r="B12" s="15" t="s">
        <v>161</v>
      </c>
    </row>
    <row r="13" spans="1:23" ht="13.35" customHeight="1" x14ac:dyDescent="0.25">
      <c r="B13" s="15" t="s">
        <v>162</v>
      </c>
    </row>
    <row r="15" spans="1:23" s="69" customFormat="1" ht="13.35" customHeight="1" x14ac:dyDescent="0.25">
      <c r="A15" s="15"/>
      <c r="B15" s="15" t="s">
        <v>188</v>
      </c>
      <c r="C15" s="15"/>
      <c r="D15" s="15"/>
      <c r="E15" s="15"/>
      <c r="F15" s="15"/>
      <c r="G15" s="15"/>
      <c r="H15" s="15"/>
      <c r="I15" s="15"/>
      <c r="J15" s="15"/>
      <c r="K15" s="15"/>
      <c r="L15" s="15"/>
      <c r="M15" s="15"/>
      <c r="N15" s="15"/>
      <c r="O15" s="15"/>
      <c r="P15" s="15"/>
      <c r="Q15" s="15"/>
      <c r="R15" s="15"/>
      <c r="S15" s="15"/>
      <c r="T15" s="15"/>
      <c r="U15" s="15"/>
      <c r="V15" s="15"/>
      <c r="W15" s="15"/>
    </row>
    <row r="16" spans="1:23" s="69" customFormat="1" ht="13.35" customHeight="1" x14ac:dyDescent="0.25">
      <c r="A16" s="15"/>
      <c r="B16" s="15" t="s">
        <v>173</v>
      </c>
      <c r="C16" s="15"/>
      <c r="D16" s="15"/>
      <c r="E16" s="15"/>
      <c r="F16" s="15"/>
      <c r="G16" s="15"/>
      <c r="H16" s="15"/>
      <c r="I16" s="15"/>
      <c r="J16" s="15"/>
      <c r="K16" s="15"/>
      <c r="L16" s="15"/>
      <c r="M16" s="15"/>
      <c r="N16" s="15"/>
      <c r="O16" s="15"/>
      <c r="P16" s="15"/>
      <c r="Q16" s="15"/>
      <c r="R16" s="15"/>
      <c r="S16" s="15"/>
      <c r="T16" s="15"/>
      <c r="U16" s="15"/>
      <c r="V16" s="15"/>
      <c r="W16" s="15"/>
    </row>
    <row r="17" spans="1:23" s="69" customFormat="1" ht="13.35" customHeight="1" x14ac:dyDescent="0.25">
      <c r="A17" s="15"/>
      <c r="B17" s="15" t="s">
        <v>189</v>
      </c>
      <c r="C17" s="15"/>
      <c r="D17" s="15"/>
      <c r="E17" s="15"/>
      <c r="F17" s="15"/>
      <c r="G17" s="15"/>
      <c r="H17" s="15"/>
      <c r="I17" s="15"/>
      <c r="J17" s="15"/>
      <c r="K17" s="15"/>
      <c r="L17" s="15"/>
      <c r="M17" s="15"/>
      <c r="N17" s="15"/>
      <c r="O17" s="15"/>
      <c r="P17" s="15"/>
      <c r="Q17" s="15"/>
      <c r="R17" s="15"/>
      <c r="S17" s="15"/>
      <c r="T17" s="15"/>
      <c r="U17" s="15"/>
      <c r="V17" s="15"/>
      <c r="W17" s="15"/>
    </row>
    <row r="18" spans="1:23" s="69" customFormat="1" ht="13.35" customHeight="1" x14ac:dyDescent="0.25">
      <c r="A18" s="15"/>
      <c r="B18" s="15" t="s">
        <v>190</v>
      </c>
      <c r="C18" s="15"/>
      <c r="D18" s="15"/>
      <c r="E18" s="15"/>
      <c r="F18" s="15"/>
      <c r="G18" s="15"/>
      <c r="H18" s="15"/>
      <c r="I18" s="15"/>
      <c r="J18" s="15"/>
      <c r="K18" s="15"/>
      <c r="L18" s="15"/>
      <c r="M18" s="15"/>
      <c r="N18" s="15"/>
      <c r="O18" s="15"/>
      <c r="P18" s="15"/>
      <c r="Q18" s="15"/>
      <c r="R18" s="15"/>
      <c r="S18" s="15"/>
      <c r="T18" s="15"/>
      <c r="U18" s="15"/>
      <c r="V18" s="15"/>
      <c r="W18" s="15"/>
    </row>
    <row r="20" spans="1:23" ht="13.35" customHeight="1" x14ac:dyDescent="0.25">
      <c r="B20" s="16" t="s">
        <v>163</v>
      </c>
    </row>
    <row r="22" spans="1:23" ht="13.35" customHeight="1" x14ac:dyDescent="0.25">
      <c r="C22" s="15" t="s">
        <v>164</v>
      </c>
    </row>
    <row r="23" spans="1:23" ht="13.35" customHeight="1" x14ac:dyDescent="0.25">
      <c r="D23" s="17" t="s">
        <v>182</v>
      </c>
    </row>
    <row r="24" spans="1:23" ht="13.35" customHeight="1" x14ac:dyDescent="0.25">
      <c r="D24" s="15" t="s">
        <v>183</v>
      </c>
    </row>
    <row r="25" spans="1:23" ht="13.35" customHeight="1" x14ac:dyDescent="0.25">
      <c r="D25" s="15" t="s">
        <v>170</v>
      </c>
    </row>
    <row r="27" spans="1:23" ht="13.35" customHeight="1" x14ac:dyDescent="0.25">
      <c r="B27" s="16" t="s">
        <v>174</v>
      </c>
      <c r="I27" s="13"/>
      <c r="J27" s="13"/>
      <c r="K27" s="13"/>
      <c r="L27" s="13"/>
      <c r="M27" s="13"/>
    </row>
    <row r="28" spans="1:23" ht="13.35" customHeight="1" x14ac:dyDescent="0.25">
      <c r="B28" s="16"/>
      <c r="I28" s="13"/>
      <c r="J28" s="13"/>
      <c r="K28" s="13"/>
      <c r="L28" s="13"/>
      <c r="M28" s="13"/>
    </row>
    <row r="29" spans="1:23" ht="13.35" customHeight="1" x14ac:dyDescent="0.25">
      <c r="C29" s="15" t="s">
        <v>175</v>
      </c>
      <c r="I29" s="13"/>
      <c r="J29" s="13"/>
      <c r="K29" s="13"/>
      <c r="L29" s="13"/>
      <c r="M29" s="13"/>
    </row>
    <row r="30" spans="1:23" ht="13.35" customHeight="1" x14ac:dyDescent="0.25">
      <c r="C30" s="15" t="s">
        <v>172</v>
      </c>
      <c r="I30" s="13"/>
      <c r="J30" s="13"/>
      <c r="K30" s="13"/>
      <c r="L30" s="13"/>
      <c r="M30" s="13"/>
    </row>
    <row r="31" spans="1:23" ht="13.35" customHeight="1" x14ac:dyDescent="0.25">
      <c r="C31" s="15" t="s">
        <v>171</v>
      </c>
      <c r="I31" s="13"/>
      <c r="J31" s="13"/>
      <c r="K31" s="13"/>
      <c r="L31" s="13"/>
      <c r="M31" s="13"/>
    </row>
    <row r="32" spans="1:23" ht="13.35" customHeight="1" x14ac:dyDescent="0.25">
      <c r="C32" s="15" t="s">
        <v>180</v>
      </c>
      <c r="I32" s="13"/>
      <c r="J32" s="13"/>
      <c r="K32" s="13"/>
      <c r="L32" s="13"/>
      <c r="M32" s="13"/>
    </row>
    <row r="33" spans="1:19" ht="13.35" customHeight="1" x14ac:dyDescent="0.25">
      <c r="I33" s="13"/>
      <c r="J33" s="13"/>
      <c r="K33" s="13"/>
      <c r="L33" s="13"/>
      <c r="M33" s="13"/>
    </row>
    <row r="34" spans="1:19" ht="13.35" customHeight="1" x14ac:dyDescent="0.25">
      <c r="B34" s="16" t="s">
        <v>176</v>
      </c>
      <c r="I34" s="13"/>
      <c r="J34" s="13"/>
      <c r="K34" s="13"/>
      <c r="L34" s="13"/>
      <c r="M34" s="13"/>
    </row>
    <row r="35" spans="1:19" ht="13.35" customHeight="1" x14ac:dyDescent="0.25">
      <c r="I35" s="13"/>
      <c r="J35" s="13"/>
      <c r="K35" s="13"/>
      <c r="L35" s="13"/>
      <c r="M35" s="13"/>
    </row>
    <row r="36" spans="1:19" ht="13.35" customHeight="1" x14ac:dyDescent="0.25">
      <c r="C36" s="18" t="s">
        <v>179</v>
      </c>
      <c r="I36" s="13"/>
      <c r="J36" s="13"/>
      <c r="K36" s="13"/>
      <c r="L36" s="13"/>
      <c r="M36" s="13"/>
    </row>
    <row r="37" spans="1:19" ht="13.35" customHeight="1" x14ac:dyDescent="0.25">
      <c r="C37" s="18" t="s">
        <v>177</v>
      </c>
      <c r="I37" s="13"/>
      <c r="J37" s="13"/>
      <c r="K37" s="13"/>
      <c r="L37" s="13"/>
      <c r="M37" s="13"/>
    </row>
    <row r="38" spans="1:19" ht="13.35" customHeight="1" x14ac:dyDescent="0.25">
      <c r="C38" s="18" t="s">
        <v>178</v>
      </c>
      <c r="I38" s="13"/>
      <c r="J38" s="13"/>
      <c r="K38" s="13"/>
      <c r="L38" s="13"/>
      <c r="M38" s="13"/>
    </row>
    <row r="39" spans="1:19" ht="13.35" customHeight="1" x14ac:dyDescent="0.25">
      <c r="I39" s="13"/>
      <c r="J39" s="13"/>
      <c r="K39" s="13"/>
      <c r="L39" s="13"/>
      <c r="M39" s="13"/>
    </row>
    <row r="40" spans="1:19" ht="13.35" customHeight="1" x14ac:dyDescent="0.25">
      <c r="B40" s="16" t="s">
        <v>165</v>
      </c>
      <c r="I40" s="13"/>
      <c r="J40" s="13"/>
      <c r="K40" s="13"/>
      <c r="L40" s="13"/>
      <c r="M40" s="13"/>
    </row>
    <row r="41" spans="1:19" ht="13.35" customHeight="1" x14ac:dyDescent="0.25">
      <c r="I41" s="13"/>
      <c r="J41" s="13"/>
      <c r="K41" s="13"/>
      <c r="L41" s="13"/>
      <c r="M41" s="13"/>
    </row>
    <row r="42" spans="1:19" ht="13.35" customHeight="1" x14ac:dyDescent="0.25">
      <c r="C42" s="15" t="s">
        <v>166</v>
      </c>
      <c r="I42" s="13"/>
      <c r="J42" s="13"/>
      <c r="K42" s="13"/>
      <c r="L42" s="13"/>
      <c r="M42" s="13"/>
    </row>
    <row r="43" spans="1:19" ht="13.35" customHeight="1" x14ac:dyDescent="0.25">
      <c r="A43" s="13"/>
      <c r="B43" s="13"/>
      <c r="C43" s="13"/>
      <c r="D43" s="18" t="s">
        <v>181</v>
      </c>
      <c r="E43" s="13"/>
      <c r="F43" s="13"/>
      <c r="G43" s="13"/>
      <c r="H43" s="13"/>
      <c r="I43" s="13"/>
      <c r="J43" s="13"/>
      <c r="K43" s="13"/>
      <c r="L43" s="13"/>
      <c r="M43" s="13"/>
      <c r="N43" s="13"/>
      <c r="O43" s="13"/>
      <c r="P43" s="13"/>
      <c r="Q43" s="13"/>
      <c r="R43" s="13"/>
      <c r="S43" s="13"/>
    </row>
    <row r="44" spans="1:19" ht="13.35" customHeight="1" x14ac:dyDescent="0.25">
      <c r="A44" s="13"/>
      <c r="B44" s="13"/>
      <c r="C44" s="13"/>
      <c r="D44" s="18" t="s">
        <v>185</v>
      </c>
      <c r="E44" s="13"/>
      <c r="F44" s="13"/>
      <c r="G44" s="13"/>
      <c r="H44" s="13"/>
      <c r="I44" s="13"/>
      <c r="J44" s="13"/>
      <c r="K44" s="13"/>
      <c r="L44" s="13"/>
      <c r="M44" s="13"/>
      <c r="N44" s="13"/>
      <c r="O44" s="13"/>
      <c r="P44" s="13"/>
      <c r="Q44" s="13"/>
      <c r="R44" s="13"/>
      <c r="S44" s="13"/>
    </row>
    <row r="45" spans="1:19" ht="13.35" customHeight="1" x14ac:dyDescent="0.25">
      <c r="A45" s="13"/>
      <c r="B45" s="13"/>
      <c r="C45" s="13"/>
      <c r="D45" s="68" t="s">
        <v>186</v>
      </c>
      <c r="E45" s="13"/>
      <c r="F45" s="13"/>
      <c r="G45" s="13"/>
      <c r="H45" s="13"/>
      <c r="I45" s="13"/>
      <c r="J45" s="13"/>
      <c r="K45" s="13"/>
      <c r="L45" s="13"/>
      <c r="M45" s="13"/>
      <c r="N45" s="13"/>
      <c r="O45" s="13"/>
      <c r="P45" s="13"/>
      <c r="Q45" s="13"/>
      <c r="R45" s="13"/>
      <c r="S45" s="13"/>
    </row>
    <row r="46" spans="1:19" ht="13.35" customHeight="1" x14ac:dyDescent="0.25">
      <c r="D46" s="18"/>
      <c r="I46" s="13"/>
      <c r="J46" s="13"/>
      <c r="K46" s="13"/>
      <c r="L46" s="13"/>
      <c r="M46" s="13"/>
    </row>
    <row r="47" spans="1:19" x14ac:dyDescent="0.25">
      <c r="D47" s="4"/>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9"/>
  <sheetViews>
    <sheetView topLeftCell="A10" zoomScaleNormal="100" workbookViewId="0">
      <selection activeCell="A50" sqref="A50"/>
    </sheetView>
  </sheetViews>
  <sheetFormatPr defaultColWidth="8.7109375" defaultRowHeight="15" x14ac:dyDescent="0.25"/>
  <cols>
    <col min="1" max="1" width="30.5703125" style="13" bestFit="1" customWidth="1"/>
    <col min="2" max="2" width="10" style="13" bestFit="1" customWidth="1"/>
    <col min="3" max="4" width="11.5703125" style="13" customWidth="1"/>
    <col min="5" max="5" width="13.42578125" style="13" bestFit="1" customWidth="1"/>
    <col min="6" max="6" width="14" style="13" bestFit="1" customWidth="1"/>
    <col min="7" max="7" width="13.5703125" style="13" bestFit="1" customWidth="1"/>
    <col min="8" max="14" width="11.5703125" style="13" customWidth="1"/>
    <col min="15" max="16384" width="8.7109375" style="13"/>
  </cols>
  <sheetData>
    <row r="1" spans="1:14" x14ac:dyDescent="0.25">
      <c r="A1" s="14" t="s">
        <v>157</v>
      </c>
    </row>
    <row r="2" spans="1:14" x14ac:dyDescent="0.25">
      <c r="A2" s="6" t="s">
        <v>168</v>
      </c>
    </row>
    <row r="3" spans="1:14" x14ac:dyDescent="0.25">
      <c r="A3" s="16" t="s">
        <v>158</v>
      </c>
    </row>
    <row r="4" spans="1:14" x14ac:dyDescent="0.25">
      <c r="A4" s="17" t="s">
        <v>169</v>
      </c>
    </row>
    <row r="5" spans="1:14" x14ac:dyDescent="0.25">
      <c r="A5" s="1"/>
    </row>
    <row r="6" spans="1:14" x14ac:dyDescent="0.25">
      <c r="A6" s="1" t="s">
        <v>20</v>
      </c>
    </row>
    <row r="8" spans="1:14" x14ac:dyDescent="0.25">
      <c r="A8" s="1" t="s">
        <v>84</v>
      </c>
    </row>
    <row r="10" spans="1:14" x14ac:dyDescent="0.25">
      <c r="A10" s="13" t="s">
        <v>21</v>
      </c>
      <c r="B10" s="7">
        <v>1000</v>
      </c>
    </row>
    <row r="11" spans="1:14" x14ac:dyDescent="0.25">
      <c r="A11" s="13" t="s">
        <v>65</v>
      </c>
      <c r="B11" s="7">
        <v>100</v>
      </c>
      <c r="E11" s="19"/>
    </row>
    <row r="12" spans="1:14" x14ac:dyDescent="0.25">
      <c r="B12" s="13" t="s">
        <v>142</v>
      </c>
      <c r="E12" s="19"/>
    </row>
    <row r="13" spans="1:14" x14ac:dyDescent="0.25">
      <c r="B13" s="20"/>
      <c r="C13" s="20" t="s">
        <v>23</v>
      </c>
      <c r="D13" s="20"/>
      <c r="E13" s="20"/>
      <c r="F13" s="20"/>
      <c r="G13" s="20"/>
      <c r="H13" s="20"/>
      <c r="I13" s="20"/>
      <c r="J13" s="20"/>
      <c r="K13" s="20"/>
      <c r="L13" s="20"/>
      <c r="M13" s="20"/>
    </row>
    <row r="14" spans="1:14" x14ac:dyDescent="0.25">
      <c r="A14" s="21"/>
      <c r="B14" s="20"/>
      <c r="C14" s="20" t="s">
        <v>22</v>
      </c>
      <c r="D14" s="20" t="s">
        <v>62</v>
      </c>
      <c r="E14" s="20"/>
      <c r="F14" s="20" t="s">
        <v>25</v>
      </c>
      <c r="G14" s="20" t="s">
        <v>26</v>
      </c>
      <c r="H14" s="20" t="s">
        <v>26</v>
      </c>
      <c r="I14" s="20" t="s">
        <v>26</v>
      </c>
      <c r="J14" s="20" t="s">
        <v>97</v>
      </c>
      <c r="K14" s="20"/>
      <c r="L14" s="20"/>
      <c r="M14" s="20"/>
    </row>
    <row r="15" spans="1:14" x14ac:dyDescent="0.25">
      <c r="A15" s="20" t="s">
        <v>0</v>
      </c>
      <c r="B15" s="20" t="s">
        <v>4</v>
      </c>
      <c r="C15" s="20" t="s">
        <v>59</v>
      </c>
      <c r="D15" s="20" t="s">
        <v>61</v>
      </c>
      <c r="E15" s="20" t="s">
        <v>6</v>
      </c>
      <c r="F15" s="20" t="s">
        <v>6</v>
      </c>
      <c r="G15" s="20" t="s">
        <v>27</v>
      </c>
      <c r="H15" s="20" t="s">
        <v>28</v>
      </c>
      <c r="I15" s="20" t="s">
        <v>9</v>
      </c>
      <c r="J15" s="20" t="s">
        <v>98</v>
      </c>
      <c r="K15" s="20" t="s">
        <v>56</v>
      </c>
      <c r="L15" s="20" t="s">
        <v>2</v>
      </c>
      <c r="M15" s="20" t="s">
        <v>11</v>
      </c>
      <c r="N15" s="20" t="s">
        <v>60</v>
      </c>
    </row>
    <row r="16" spans="1:14" x14ac:dyDescent="0.25">
      <c r="A16" s="2" t="s">
        <v>1</v>
      </c>
      <c r="B16" s="2" t="s">
        <v>58</v>
      </c>
      <c r="C16" s="2" t="s">
        <v>24</v>
      </c>
      <c r="D16" s="2" t="s">
        <v>3</v>
      </c>
      <c r="E16" s="2" t="s">
        <v>3</v>
      </c>
      <c r="F16" s="2" t="s">
        <v>3</v>
      </c>
      <c r="G16" s="2" t="s">
        <v>5</v>
      </c>
      <c r="H16" s="2" t="s">
        <v>5</v>
      </c>
      <c r="I16" s="2" t="s">
        <v>5</v>
      </c>
      <c r="J16" s="2" t="s">
        <v>5</v>
      </c>
      <c r="K16" s="2" t="s">
        <v>57</v>
      </c>
      <c r="L16" s="2" t="s">
        <v>3</v>
      </c>
      <c r="M16" s="2" t="s">
        <v>3</v>
      </c>
      <c r="N16" s="2" t="s">
        <v>58</v>
      </c>
    </row>
    <row r="17" spans="1:14" x14ac:dyDescent="0.25">
      <c r="A17" s="20"/>
      <c r="N17" s="22"/>
    </row>
    <row r="18" spans="1:14" x14ac:dyDescent="0.25">
      <c r="A18" s="20">
        <v>1</v>
      </c>
      <c r="B18" s="8">
        <v>90</v>
      </c>
      <c r="C18" s="9">
        <v>4.2500000000000003E-2</v>
      </c>
      <c r="D18" s="9">
        <v>0.04</v>
      </c>
      <c r="E18" s="10">
        <v>0.75</v>
      </c>
      <c r="F18" s="10">
        <f>E18-E27</f>
        <v>0.7</v>
      </c>
      <c r="G18" s="7">
        <v>200</v>
      </c>
      <c r="H18" s="7">
        <v>100</v>
      </c>
      <c r="I18" s="8">
        <v>35</v>
      </c>
      <c r="J18" s="8">
        <v>1000</v>
      </c>
      <c r="K18" s="9">
        <v>2.2499999999999999E-2</v>
      </c>
      <c r="L18" s="11">
        <v>6.3000000000000003E-4</v>
      </c>
      <c r="M18" s="10">
        <v>0.15</v>
      </c>
      <c r="N18" s="8">
        <v>0</v>
      </c>
    </row>
    <row r="19" spans="1:14" x14ac:dyDescent="0.25">
      <c r="A19" s="20">
        <v>2</v>
      </c>
      <c r="B19" s="8">
        <f>B18</f>
        <v>90</v>
      </c>
      <c r="C19" s="9">
        <v>4.2500000000000003E-2</v>
      </c>
      <c r="D19" s="9">
        <v>0.04</v>
      </c>
      <c r="E19" s="10">
        <v>0.05</v>
      </c>
      <c r="F19" s="10">
        <v>0</v>
      </c>
      <c r="G19" s="7">
        <v>0.04</v>
      </c>
      <c r="H19" s="7">
        <v>0.02</v>
      </c>
      <c r="I19" s="8">
        <f>I18*1.02</f>
        <v>35.700000000000003</v>
      </c>
      <c r="J19" s="8">
        <v>1000</v>
      </c>
      <c r="K19" s="9">
        <v>2.2499999999999999E-2</v>
      </c>
      <c r="L19" s="11">
        <v>7.6999999999999996E-4</v>
      </c>
      <c r="M19" s="10">
        <v>0.12</v>
      </c>
      <c r="N19" s="8">
        <v>100</v>
      </c>
    </row>
    <row r="20" spans="1:14" x14ac:dyDescent="0.25">
      <c r="A20" s="20">
        <v>3</v>
      </c>
      <c r="B20" s="8">
        <f t="shared" ref="B20:B27" si="0">B19</f>
        <v>90</v>
      </c>
      <c r="C20" s="9">
        <v>4.2500000000000003E-2</v>
      </c>
      <c r="D20" s="9">
        <v>0.04</v>
      </c>
      <c r="E20" s="10">
        <v>0.05</v>
      </c>
      <c r="F20" s="10">
        <v>0</v>
      </c>
      <c r="G20" s="7">
        <v>0.04</v>
      </c>
      <c r="H20" s="7">
        <v>0.02</v>
      </c>
      <c r="I20" s="8">
        <f t="shared" ref="I20:I27" si="1">I19*1.02</f>
        <v>36.414000000000001</v>
      </c>
      <c r="J20" s="8">
        <v>1000</v>
      </c>
      <c r="K20" s="9">
        <v>2.2499999999999999E-2</v>
      </c>
      <c r="L20" s="11">
        <v>9.8999999999999999E-4</v>
      </c>
      <c r="M20" s="10">
        <v>0.1</v>
      </c>
      <c r="N20" s="8">
        <v>210</v>
      </c>
    </row>
    <row r="21" spans="1:14" x14ac:dyDescent="0.25">
      <c r="A21" s="20">
        <v>4</v>
      </c>
      <c r="B21" s="8">
        <f t="shared" si="0"/>
        <v>90</v>
      </c>
      <c r="C21" s="9">
        <v>4.2500000000000003E-2</v>
      </c>
      <c r="D21" s="9">
        <v>0.04</v>
      </c>
      <c r="E21" s="10">
        <v>0.05</v>
      </c>
      <c r="F21" s="10">
        <v>0</v>
      </c>
      <c r="G21" s="7">
        <v>0.04</v>
      </c>
      <c r="H21" s="7">
        <v>0.02</v>
      </c>
      <c r="I21" s="8">
        <f t="shared" si="1"/>
        <v>37.14228</v>
      </c>
      <c r="J21" s="8">
        <v>1000</v>
      </c>
      <c r="K21" s="9">
        <v>2.2499999999999999E-2</v>
      </c>
      <c r="L21" s="11">
        <v>1.14E-3</v>
      </c>
      <c r="M21" s="10">
        <v>0.09</v>
      </c>
      <c r="N21" s="8">
        <v>320</v>
      </c>
    </row>
    <row r="22" spans="1:14" x14ac:dyDescent="0.25">
      <c r="A22" s="20">
        <v>5</v>
      </c>
      <c r="B22" s="8">
        <f t="shared" si="0"/>
        <v>90</v>
      </c>
      <c r="C22" s="9">
        <v>4.2500000000000003E-2</v>
      </c>
      <c r="D22" s="9">
        <v>0.04</v>
      </c>
      <c r="E22" s="10">
        <v>0.05</v>
      </c>
      <c r="F22" s="10">
        <v>0</v>
      </c>
      <c r="G22" s="7">
        <v>0.04</v>
      </c>
      <c r="H22" s="7">
        <v>0.02</v>
      </c>
      <c r="I22" s="8">
        <f t="shared" si="1"/>
        <v>37.885125600000002</v>
      </c>
      <c r="J22" s="8">
        <v>1000</v>
      </c>
      <c r="K22" s="9">
        <v>2.2499999999999999E-2</v>
      </c>
      <c r="L22" s="11">
        <v>1.2800000000000001E-3</v>
      </c>
      <c r="M22" s="10">
        <v>0.08</v>
      </c>
      <c r="N22" s="8">
        <v>430</v>
      </c>
    </row>
    <row r="23" spans="1:14" x14ac:dyDescent="0.25">
      <c r="A23" s="20">
        <v>6</v>
      </c>
      <c r="B23" s="8">
        <f t="shared" si="0"/>
        <v>90</v>
      </c>
      <c r="C23" s="9">
        <v>4.2500000000000003E-2</v>
      </c>
      <c r="D23" s="9">
        <v>0.04</v>
      </c>
      <c r="E23" s="10">
        <v>0.05</v>
      </c>
      <c r="F23" s="10">
        <v>0</v>
      </c>
      <c r="G23" s="7">
        <v>0.04</v>
      </c>
      <c r="H23" s="7">
        <v>0.02</v>
      </c>
      <c r="I23" s="8">
        <f t="shared" si="1"/>
        <v>38.642828112000004</v>
      </c>
      <c r="J23" s="8">
        <v>1000</v>
      </c>
      <c r="K23" s="9">
        <v>2.2499999999999999E-2</v>
      </c>
      <c r="L23" s="11">
        <v>1.4E-3</v>
      </c>
      <c r="M23" s="10">
        <v>7.0000000000000007E-2</v>
      </c>
      <c r="N23" s="8">
        <v>540</v>
      </c>
    </row>
    <row r="24" spans="1:14" x14ac:dyDescent="0.25">
      <c r="A24" s="20">
        <v>7</v>
      </c>
      <c r="B24" s="8">
        <f t="shared" si="0"/>
        <v>90</v>
      </c>
      <c r="C24" s="9">
        <v>4.2500000000000003E-2</v>
      </c>
      <c r="D24" s="9">
        <v>0.04</v>
      </c>
      <c r="E24" s="10">
        <v>0.05</v>
      </c>
      <c r="F24" s="10">
        <v>0</v>
      </c>
      <c r="G24" s="7">
        <v>0.04</v>
      </c>
      <c r="H24" s="7">
        <v>0.02</v>
      </c>
      <c r="I24" s="8">
        <f t="shared" si="1"/>
        <v>39.415684674240005</v>
      </c>
      <c r="J24" s="8">
        <v>1000</v>
      </c>
      <c r="K24" s="9">
        <v>2.2499999999999999E-2</v>
      </c>
      <c r="L24" s="11">
        <v>1.58E-3</v>
      </c>
      <c r="M24" s="10">
        <v>0.06</v>
      </c>
      <c r="N24" s="8">
        <v>650</v>
      </c>
    </row>
    <row r="25" spans="1:14" x14ac:dyDescent="0.25">
      <c r="A25" s="20">
        <v>8</v>
      </c>
      <c r="B25" s="8">
        <f t="shared" si="0"/>
        <v>90</v>
      </c>
      <c r="C25" s="9">
        <v>4.2500000000000003E-2</v>
      </c>
      <c r="D25" s="9">
        <v>0.04</v>
      </c>
      <c r="E25" s="10">
        <v>0.05</v>
      </c>
      <c r="F25" s="10">
        <v>0</v>
      </c>
      <c r="G25" s="7">
        <v>0.04</v>
      </c>
      <c r="H25" s="7">
        <v>0.02</v>
      </c>
      <c r="I25" s="8">
        <f t="shared" si="1"/>
        <v>40.203998367724807</v>
      </c>
      <c r="J25" s="8">
        <v>1000</v>
      </c>
      <c r="K25" s="9">
        <v>2.2499999999999999E-2</v>
      </c>
      <c r="L25" s="11">
        <v>1.7799999999999999E-3</v>
      </c>
      <c r="M25" s="10">
        <v>0.05</v>
      </c>
      <c r="N25" s="8">
        <v>760</v>
      </c>
    </row>
    <row r="26" spans="1:14" x14ac:dyDescent="0.25">
      <c r="A26" s="20">
        <v>9</v>
      </c>
      <c r="B26" s="8">
        <f t="shared" si="0"/>
        <v>90</v>
      </c>
      <c r="C26" s="9">
        <v>4.2500000000000003E-2</v>
      </c>
      <c r="D26" s="9">
        <v>0.04</v>
      </c>
      <c r="E26" s="10">
        <v>0.05</v>
      </c>
      <c r="F26" s="10">
        <v>0</v>
      </c>
      <c r="G26" s="7">
        <v>0.04</v>
      </c>
      <c r="H26" s="7">
        <v>0.02</v>
      </c>
      <c r="I26" s="8">
        <f t="shared" si="1"/>
        <v>41.008078335079304</v>
      </c>
      <c r="J26" s="8">
        <v>1000</v>
      </c>
      <c r="K26" s="9">
        <v>2.2499999999999999E-2</v>
      </c>
      <c r="L26" s="11">
        <v>2.0100000000000001E-3</v>
      </c>
      <c r="M26" s="10">
        <v>0.04</v>
      </c>
      <c r="N26" s="8">
        <v>870</v>
      </c>
    </row>
    <row r="27" spans="1:14" x14ac:dyDescent="0.25">
      <c r="A27" s="20">
        <v>10</v>
      </c>
      <c r="B27" s="8">
        <f t="shared" si="0"/>
        <v>90</v>
      </c>
      <c r="C27" s="9">
        <v>4.2500000000000003E-2</v>
      </c>
      <c r="D27" s="9">
        <v>0.04</v>
      </c>
      <c r="E27" s="10">
        <v>0.05</v>
      </c>
      <c r="F27" s="10">
        <v>0</v>
      </c>
      <c r="G27" s="7">
        <v>0.04</v>
      </c>
      <c r="H27" s="7">
        <v>0.02</v>
      </c>
      <c r="I27" s="8">
        <f t="shared" si="1"/>
        <v>41.82823990178089</v>
      </c>
      <c r="J27" s="8">
        <v>1000</v>
      </c>
      <c r="K27" s="9">
        <v>2.2499999999999999E-2</v>
      </c>
      <c r="L27" s="11">
        <v>2.2399999999999998E-3</v>
      </c>
      <c r="M27" s="10">
        <v>1</v>
      </c>
      <c r="N27" s="8">
        <v>1000</v>
      </c>
    </row>
    <row r="28" spans="1:14" x14ac:dyDescent="0.25">
      <c r="A28" s="20"/>
      <c r="B28" s="19"/>
      <c r="C28" s="23"/>
      <c r="D28" s="23"/>
      <c r="E28" s="23"/>
      <c r="F28" s="24"/>
      <c r="G28" s="24"/>
      <c r="H28" s="24"/>
      <c r="I28" s="24"/>
      <c r="J28" s="24"/>
      <c r="K28" s="25"/>
      <c r="L28" s="26"/>
    </row>
    <row r="29" spans="1:14" x14ac:dyDescent="0.25">
      <c r="A29" s="4" t="s">
        <v>85</v>
      </c>
    </row>
    <row r="31" spans="1:14" x14ac:dyDescent="0.25">
      <c r="A31" s="13" t="s">
        <v>21</v>
      </c>
      <c r="B31" s="24">
        <f>B10</f>
        <v>1000</v>
      </c>
    </row>
    <row r="32" spans="1:14" x14ac:dyDescent="0.25">
      <c r="A32" s="13" t="s">
        <v>65</v>
      </c>
      <c r="B32" s="24">
        <f>B11</f>
        <v>100</v>
      </c>
      <c r="E32" s="19"/>
    </row>
    <row r="33" spans="1:14" x14ac:dyDescent="0.25">
      <c r="B33" s="24"/>
      <c r="E33" s="19"/>
    </row>
    <row r="34" spans="1:14" x14ac:dyDescent="0.25">
      <c r="B34" s="20"/>
      <c r="C34" s="20" t="s">
        <v>23</v>
      </c>
      <c r="D34" s="20"/>
      <c r="E34" s="20"/>
      <c r="F34" s="20"/>
      <c r="G34" s="20"/>
      <c r="H34" s="20"/>
      <c r="I34" s="20"/>
      <c r="J34" s="20"/>
      <c r="K34" s="20"/>
      <c r="L34" s="20"/>
      <c r="M34" s="20"/>
    </row>
    <row r="35" spans="1:14" x14ac:dyDescent="0.25">
      <c r="A35" s="21"/>
      <c r="B35" s="20"/>
      <c r="C35" s="20" t="s">
        <v>22</v>
      </c>
      <c r="D35" s="20" t="s">
        <v>62</v>
      </c>
      <c r="E35" s="20"/>
      <c r="F35" s="20" t="s">
        <v>25</v>
      </c>
      <c r="G35" s="20" t="s">
        <v>26</v>
      </c>
      <c r="H35" s="20" t="s">
        <v>26</v>
      </c>
      <c r="I35" s="20" t="s">
        <v>26</v>
      </c>
      <c r="J35" s="20" t="s">
        <v>97</v>
      </c>
      <c r="K35" s="20"/>
      <c r="L35" s="20"/>
      <c r="M35" s="20"/>
    </row>
    <row r="36" spans="1:14" x14ac:dyDescent="0.25">
      <c r="A36" s="20" t="s">
        <v>0</v>
      </c>
      <c r="B36" s="20" t="s">
        <v>4</v>
      </c>
      <c r="C36" s="20" t="s">
        <v>59</v>
      </c>
      <c r="D36" s="20" t="s">
        <v>61</v>
      </c>
      <c r="E36" s="20" t="s">
        <v>6</v>
      </c>
      <c r="F36" s="20" t="s">
        <v>6</v>
      </c>
      <c r="G36" s="20" t="s">
        <v>27</v>
      </c>
      <c r="H36" s="20" t="s">
        <v>28</v>
      </c>
      <c r="I36" s="20" t="s">
        <v>9</v>
      </c>
      <c r="J36" s="20" t="s">
        <v>98</v>
      </c>
      <c r="K36" s="20" t="s">
        <v>56</v>
      </c>
      <c r="L36" s="20" t="s">
        <v>2</v>
      </c>
      <c r="M36" s="20" t="s">
        <v>11</v>
      </c>
      <c r="N36" s="20" t="s">
        <v>60</v>
      </c>
    </row>
    <row r="37" spans="1:14" x14ac:dyDescent="0.25">
      <c r="A37" s="2" t="s">
        <v>1</v>
      </c>
      <c r="B37" s="2" t="s">
        <v>58</v>
      </c>
      <c r="C37" s="2" t="s">
        <v>24</v>
      </c>
      <c r="D37" s="2" t="s">
        <v>3</v>
      </c>
      <c r="E37" s="2" t="s">
        <v>3</v>
      </c>
      <c r="F37" s="2" t="s">
        <v>3</v>
      </c>
      <c r="G37" s="2" t="s">
        <v>5</v>
      </c>
      <c r="H37" s="2" t="s">
        <v>5</v>
      </c>
      <c r="I37" s="2" t="s">
        <v>5</v>
      </c>
      <c r="J37" s="2" t="s">
        <v>5</v>
      </c>
      <c r="K37" s="2" t="s">
        <v>57</v>
      </c>
      <c r="L37" s="2" t="s">
        <v>3</v>
      </c>
      <c r="M37" s="2" t="s">
        <v>3</v>
      </c>
      <c r="N37" s="2" t="s">
        <v>58</v>
      </c>
    </row>
    <row r="38" spans="1:14" x14ac:dyDescent="0.25">
      <c r="A38" s="20"/>
      <c r="N38" s="22"/>
    </row>
    <row r="39" spans="1:14" x14ac:dyDescent="0.25">
      <c r="A39" s="20">
        <v>1</v>
      </c>
      <c r="B39" s="22">
        <f>B18</f>
        <v>90</v>
      </c>
      <c r="C39" s="19">
        <f>C18</f>
        <v>4.2500000000000003E-2</v>
      </c>
      <c r="D39" s="19">
        <f t="shared" ref="D39:F39" si="2">D18</f>
        <v>0.04</v>
      </c>
      <c r="E39" s="23">
        <f t="shared" si="2"/>
        <v>0.75</v>
      </c>
      <c r="F39" s="23">
        <f t="shared" si="2"/>
        <v>0.7</v>
      </c>
      <c r="G39" s="24">
        <f t="shared" ref="G39:N39" si="3">G18</f>
        <v>200</v>
      </c>
      <c r="H39" s="24">
        <f t="shared" si="3"/>
        <v>100</v>
      </c>
      <c r="I39" s="22">
        <f t="shared" si="3"/>
        <v>35</v>
      </c>
      <c r="J39" s="22">
        <v>1000</v>
      </c>
      <c r="K39" s="19">
        <f t="shared" si="3"/>
        <v>2.2499999999999999E-2</v>
      </c>
      <c r="L39" s="27">
        <f t="shared" si="3"/>
        <v>6.3000000000000003E-4</v>
      </c>
      <c r="M39" s="23">
        <f t="shared" si="3"/>
        <v>0.15</v>
      </c>
      <c r="N39" s="22">
        <f t="shared" si="3"/>
        <v>0</v>
      </c>
    </row>
    <row r="40" spans="1:14" x14ac:dyDescent="0.25">
      <c r="A40" s="20">
        <v>2</v>
      </c>
      <c r="B40" s="22">
        <f t="shared" ref="B40:C48" si="4">B19</f>
        <v>90</v>
      </c>
      <c r="C40" s="19">
        <f t="shared" si="4"/>
        <v>4.2500000000000003E-2</v>
      </c>
      <c r="D40" s="19">
        <f t="shared" ref="D40:N40" si="5">D19</f>
        <v>0.04</v>
      </c>
      <c r="E40" s="23">
        <f t="shared" si="5"/>
        <v>0.05</v>
      </c>
      <c r="F40" s="23">
        <f t="shared" si="5"/>
        <v>0</v>
      </c>
      <c r="G40" s="24">
        <f t="shared" si="5"/>
        <v>0.04</v>
      </c>
      <c r="H40" s="24">
        <f t="shared" si="5"/>
        <v>0.02</v>
      </c>
      <c r="I40" s="22">
        <f t="shared" si="5"/>
        <v>35.700000000000003</v>
      </c>
      <c r="J40" s="22">
        <v>1000</v>
      </c>
      <c r="K40" s="19">
        <f t="shared" si="5"/>
        <v>2.2499999999999999E-2</v>
      </c>
      <c r="L40" s="27">
        <f t="shared" si="5"/>
        <v>7.6999999999999996E-4</v>
      </c>
      <c r="M40" s="23">
        <f t="shared" si="5"/>
        <v>0.12</v>
      </c>
      <c r="N40" s="22">
        <f t="shared" si="5"/>
        <v>100</v>
      </c>
    </row>
    <row r="41" spans="1:14" x14ac:dyDescent="0.25">
      <c r="A41" s="20">
        <v>3</v>
      </c>
      <c r="B41" s="22">
        <f t="shared" si="4"/>
        <v>90</v>
      </c>
      <c r="C41" s="19">
        <f t="shared" si="4"/>
        <v>4.2500000000000003E-2</v>
      </c>
      <c r="D41" s="19">
        <f t="shared" ref="D41:N41" si="6">D20</f>
        <v>0.04</v>
      </c>
      <c r="E41" s="23">
        <f t="shared" si="6"/>
        <v>0.05</v>
      </c>
      <c r="F41" s="23">
        <f t="shared" si="6"/>
        <v>0</v>
      </c>
      <c r="G41" s="24">
        <f t="shared" si="6"/>
        <v>0.04</v>
      </c>
      <c r="H41" s="24">
        <f t="shared" si="6"/>
        <v>0.02</v>
      </c>
      <c r="I41" s="22">
        <f t="shared" si="6"/>
        <v>36.414000000000001</v>
      </c>
      <c r="J41" s="22">
        <v>1000</v>
      </c>
      <c r="K41" s="19">
        <f t="shared" si="6"/>
        <v>2.2499999999999999E-2</v>
      </c>
      <c r="L41" s="27">
        <f t="shared" si="6"/>
        <v>9.8999999999999999E-4</v>
      </c>
      <c r="M41" s="23">
        <f t="shared" si="6"/>
        <v>0.1</v>
      </c>
      <c r="N41" s="22">
        <f t="shared" si="6"/>
        <v>210</v>
      </c>
    </row>
    <row r="42" spans="1:14" x14ac:dyDescent="0.25">
      <c r="A42" s="20">
        <v>4</v>
      </c>
      <c r="B42" s="22">
        <f t="shared" si="4"/>
        <v>90</v>
      </c>
      <c r="C42" s="19">
        <f t="shared" si="4"/>
        <v>4.2500000000000003E-2</v>
      </c>
      <c r="D42" s="19">
        <f t="shared" ref="D42:N42" si="7">D21</f>
        <v>0.04</v>
      </c>
      <c r="E42" s="23">
        <f t="shared" si="7"/>
        <v>0.05</v>
      </c>
      <c r="F42" s="23">
        <f t="shared" si="7"/>
        <v>0</v>
      </c>
      <c r="G42" s="24">
        <f t="shared" si="7"/>
        <v>0.04</v>
      </c>
      <c r="H42" s="24">
        <f t="shared" si="7"/>
        <v>0.02</v>
      </c>
      <c r="I42" s="22">
        <f t="shared" si="7"/>
        <v>37.14228</v>
      </c>
      <c r="J42" s="22">
        <v>1000</v>
      </c>
      <c r="K42" s="19">
        <f t="shared" si="7"/>
        <v>2.2499999999999999E-2</v>
      </c>
      <c r="L42" s="27">
        <f t="shared" si="7"/>
        <v>1.14E-3</v>
      </c>
      <c r="M42" s="23">
        <f t="shared" si="7"/>
        <v>0.09</v>
      </c>
      <c r="N42" s="22">
        <f t="shared" si="7"/>
        <v>320</v>
      </c>
    </row>
    <row r="43" spans="1:14" x14ac:dyDescent="0.25">
      <c r="A43" s="20">
        <v>5</v>
      </c>
      <c r="B43" s="22">
        <f t="shared" si="4"/>
        <v>90</v>
      </c>
      <c r="C43" s="19">
        <f t="shared" si="4"/>
        <v>4.2500000000000003E-2</v>
      </c>
      <c r="D43" s="19">
        <f t="shared" ref="D43:K43" si="8">D22</f>
        <v>0.04</v>
      </c>
      <c r="E43" s="23">
        <f t="shared" si="8"/>
        <v>0.05</v>
      </c>
      <c r="F43" s="23">
        <f t="shared" si="8"/>
        <v>0</v>
      </c>
      <c r="G43" s="24">
        <f t="shared" si="8"/>
        <v>0.04</v>
      </c>
      <c r="H43" s="24">
        <f t="shared" si="8"/>
        <v>0.02</v>
      </c>
      <c r="I43" s="22">
        <f t="shared" si="8"/>
        <v>37.885125600000002</v>
      </c>
      <c r="J43" s="22">
        <v>1000</v>
      </c>
      <c r="K43" s="19">
        <f t="shared" si="8"/>
        <v>2.2499999999999999E-2</v>
      </c>
      <c r="L43" s="12">
        <f>L22*1.25</f>
        <v>1.6000000000000001E-3</v>
      </c>
      <c r="M43" s="23">
        <f t="shared" ref="M43:N48" si="9">M22</f>
        <v>0.08</v>
      </c>
      <c r="N43" s="22">
        <f t="shared" si="9"/>
        <v>430</v>
      </c>
    </row>
    <row r="44" spans="1:14" x14ac:dyDescent="0.25">
      <c r="A44" s="20">
        <v>6</v>
      </c>
      <c r="B44" s="22">
        <f t="shared" si="4"/>
        <v>90</v>
      </c>
      <c r="C44" s="19">
        <f t="shared" si="4"/>
        <v>4.2500000000000003E-2</v>
      </c>
      <c r="D44" s="19">
        <f t="shared" ref="D44:L44" si="10">D23</f>
        <v>0.04</v>
      </c>
      <c r="E44" s="23">
        <f t="shared" si="10"/>
        <v>0.05</v>
      </c>
      <c r="F44" s="23">
        <f t="shared" si="10"/>
        <v>0</v>
      </c>
      <c r="G44" s="24">
        <f t="shared" si="10"/>
        <v>0.04</v>
      </c>
      <c r="H44" s="24">
        <f t="shared" si="10"/>
        <v>0.02</v>
      </c>
      <c r="I44" s="22">
        <f t="shared" si="10"/>
        <v>38.642828112000004</v>
      </c>
      <c r="J44" s="22">
        <v>1000</v>
      </c>
      <c r="K44" s="19">
        <f t="shared" si="10"/>
        <v>2.2499999999999999E-2</v>
      </c>
      <c r="L44" s="27">
        <f t="shared" si="10"/>
        <v>1.4E-3</v>
      </c>
      <c r="M44" s="23">
        <f t="shared" si="9"/>
        <v>7.0000000000000007E-2</v>
      </c>
      <c r="N44" s="22">
        <f t="shared" si="9"/>
        <v>540</v>
      </c>
    </row>
    <row r="45" spans="1:14" x14ac:dyDescent="0.25">
      <c r="A45" s="20">
        <v>7</v>
      </c>
      <c r="B45" s="22">
        <f t="shared" si="4"/>
        <v>90</v>
      </c>
      <c r="C45" s="19">
        <f t="shared" si="4"/>
        <v>4.2500000000000003E-2</v>
      </c>
      <c r="D45" s="19">
        <f t="shared" ref="D45:L45" si="11">D24</f>
        <v>0.04</v>
      </c>
      <c r="E45" s="23">
        <f t="shared" si="11"/>
        <v>0.05</v>
      </c>
      <c r="F45" s="23">
        <f t="shared" si="11"/>
        <v>0</v>
      </c>
      <c r="G45" s="24">
        <f t="shared" si="11"/>
        <v>0.04</v>
      </c>
      <c r="H45" s="24">
        <f t="shared" si="11"/>
        <v>0.02</v>
      </c>
      <c r="I45" s="22">
        <f t="shared" si="11"/>
        <v>39.415684674240005</v>
      </c>
      <c r="J45" s="22">
        <v>1000</v>
      </c>
      <c r="K45" s="19">
        <f t="shared" si="11"/>
        <v>2.2499999999999999E-2</v>
      </c>
      <c r="L45" s="27">
        <f t="shared" si="11"/>
        <v>1.58E-3</v>
      </c>
      <c r="M45" s="23">
        <f t="shared" si="9"/>
        <v>0.06</v>
      </c>
      <c r="N45" s="22">
        <f t="shared" si="9"/>
        <v>650</v>
      </c>
    </row>
    <row r="46" spans="1:14" x14ac:dyDescent="0.25">
      <c r="A46" s="20">
        <v>8</v>
      </c>
      <c r="B46" s="22">
        <f t="shared" si="4"/>
        <v>90</v>
      </c>
      <c r="C46" s="19">
        <f t="shared" si="4"/>
        <v>4.2500000000000003E-2</v>
      </c>
      <c r="D46" s="19">
        <f t="shared" ref="D46:L46" si="12">D25</f>
        <v>0.04</v>
      </c>
      <c r="E46" s="23">
        <f t="shared" si="12"/>
        <v>0.05</v>
      </c>
      <c r="F46" s="23">
        <f t="shared" si="12"/>
        <v>0</v>
      </c>
      <c r="G46" s="24">
        <f t="shared" si="12"/>
        <v>0.04</v>
      </c>
      <c r="H46" s="24">
        <f t="shared" si="12"/>
        <v>0.02</v>
      </c>
      <c r="I46" s="22">
        <f t="shared" si="12"/>
        <v>40.203998367724807</v>
      </c>
      <c r="J46" s="22">
        <v>1000</v>
      </c>
      <c r="K46" s="19">
        <f t="shared" si="12"/>
        <v>2.2499999999999999E-2</v>
      </c>
      <c r="L46" s="27">
        <f t="shared" si="12"/>
        <v>1.7799999999999999E-3</v>
      </c>
      <c r="M46" s="23">
        <f t="shared" si="9"/>
        <v>0.05</v>
      </c>
      <c r="N46" s="22">
        <f t="shared" si="9"/>
        <v>760</v>
      </c>
    </row>
    <row r="47" spans="1:14" x14ac:dyDescent="0.25">
      <c r="A47" s="20">
        <v>9</v>
      </c>
      <c r="B47" s="22">
        <f t="shared" si="4"/>
        <v>90</v>
      </c>
      <c r="C47" s="19">
        <f t="shared" si="4"/>
        <v>4.2500000000000003E-2</v>
      </c>
      <c r="D47" s="19">
        <f t="shared" ref="D47:L47" si="13">D26</f>
        <v>0.04</v>
      </c>
      <c r="E47" s="23">
        <f t="shared" si="13"/>
        <v>0.05</v>
      </c>
      <c r="F47" s="23">
        <f t="shared" si="13"/>
        <v>0</v>
      </c>
      <c r="G47" s="24">
        <f t="shared" si="13"/>
        <v>0.04</v>
      </c>
      <c r="H47" s="24">
        <f t="shared" si="13"/>
        <v>0.02</v>
      </c>
      <c r="I47" s="22">
        <f t="shared" si="13"/>
        <v>41.008078335079304</v>
      </c>
      <c r="J47" s="22">
        <v>1000</v>
      </c>
      <c r="K47" s="19">
        <f t="shared" si="13"/>
        <v>2.2499999999999999E-2</v>
      </c>
      <c r="L47" s="27">
        <f t="shared" si="13"/>
        <v>2.0100000000000001E-3</v>
      </c>
      <c r="M47" s="23">
        <f t="shared" si="9"/>
        <v>0.04</v>
      </c>
      <c r="N47" s="22">
        <f t="shared" si="9"/>
        <v>870</v>
      </c>
    </row>
    <row r="48" spans="1:14" x14ac:dyDescent="0.25">
      <c r="A48" s="20">
        <v>10</v>
      </c>
      <c r="B48" s="22">
        <f t="shared" si="4"/>
        <v>90</v>
      </c>
      <c r="C48" s="19">
        <f t="shared" si="4"/>
        <v>4.2500000000000003E-2</v>
      </c>
      <c r="D48" s="19">
        <f t="shared" ref="D48:L48" si="14">D27</f>
        <v>0.04</v>
      </c>
      <c r="E48" s="23">
        <f t="shared" si="14"/>
        <v>0.05</v>
      </c>
      <c r="F48" s="23">
        <f t="shared" si="14"/>
        <v>0</v>
      </c>
      <c r="G48" s="24">
        <f t="shared" si="14"/>
        <v>0.04</v>
      </c>
      <c r="H48" s="24">
        <f t="shared" si="14"/>
        <v>0.02</v>
      </c>
      <c r="I48" s="22">
        <f t="shared" si="14"/>
        <v>41.82823990178089</v>
      </c>
      <c r="J48" s="22">
        <v>1000</v>
      </c>
      <c r="K48" s="19">
        <f t="shared" si="14"/>
        <v>2.2499999999999999E-2</v>
      </c>
      <c r="L48" s="27">
        <f t="shared" si="14"/>
        <v>2.2399999999999998E-3</v>
      </c>
      <c r="M48" s="23">
        <f t="shared" si="9"/>
        <v>1</v>
      </c>
      <c r="N48" s="22">
        <f t="shared" si="9"/>
        <v>1000</v>
      </c>
    </row>
    <row r="50" spans="1:14" x14ac:dyDescent="0.25">
      <c r="A50" s="4" t="s">
        <v>187</v>
      </c>
    </row>
    <row r="52" spans="1:14" x14ac:dyDescent="0.25">
      <c r="A52" s="13" t="s">
        <v>21</v>
      </c>
      <c r="B52" s="24">
        <v>1000</v>
      </c>
    </row>
    <row r="53" spans="1:14" x14ac:dyDescent="0.25">
      <c r="A53" s="13" t="s">
        <v>65</v>
      </c>
      <c r="B53" s="24">
        <v>100</v>
      </c>
      <c r="E53" s="19"/>
    </row>
    <row r="54" spans="1:14" x14ac:dyDescent="0.25">
      <c r="B54" s="24"/>
      <c r="E54" s="19"/>
    </row>
    <row r="55" spans="1:14" x14ac:dyDescent="0.25">
      <c r="B55" s="20"/>
      <c r="C55" s="20" t="s">
        <v>23</v>
      </c>
      <c r="D55" s="20"/>
      <c r="E55" s="20"/>
      <c r="F55" s="20"/>
      <c r="G55" s="20"/>
      <c r="H55" s="20"/>
      <c r="I55" s="20"/>
      <c r="J55" s="20"/>
      <c r="K55" s="20"/>
      <c r="L55" s="20"/>
      <c r="M55" s="20"/>
    </row>
    <row r="56" spans="1:14" x14ac:dyDescent="0.25">
      <c r="A56" s="21"/>
      <c r="B56" s="20"/>
      <c r="C56" s="20" t="s">
        <v>22</v>
      </c>
      <c r="D56" s="20" t="s">
        <v>62</v>
      </c>
      <c r="E56" s="20"/>
      <c r="F56" s="20" t="s">
        <v>25</v>
      </c>
      <c r="G56" s="20" t="s">
        <v>26</v>
      </c>
      <c r="H56" s="20" t="s">
        <v>26</v>
      </c>
      <c r="I56" s="20" t="s">
        <v>26</v>
      </c>
      <c r="J56" s="20" t="s">
        <v>97</v>
      </c>
      <c r="K56" s="20"/>
      <c r="L56" s="20"/>
      <c r="M56" s="20"/>
    </row>
    <row r="57" spans="1:14" x14ac:dyDescent="0.25">
      <c r="A57" s="20" t="s">
        <v>0</v>
      </c>
      <c r="B57" s="20" t="s">
        <v>4</v>
      </c>
      <c r="C57" s="20" t="s">
        <v>59</v>
      </c>
      <c r="D57" s="20" t="s">
        <v>61</v>
      </c>
      <c r="E57" s="20" t="s">
        <v>6</v>
      </c>
      <c r="F57" s="20" t="s">
        <v>6</v>
      </c>
      <c r="G57" s="20" t="s">
        <v>27</v>
      </c>
      <c r="H57" s="20" t="s">
        <v>28</v>
      </c>
      <c r="I57" s="20" t="s">
        <v>9</v>
      </c>
      <c r="J57" s="20" t="s">
        <v>98</v>
      </c>
      <c r="K57" s="20" t="s">
        <v>56</v>
      </c>
      <c r="L57" s="20" t="s">
        <v>2</v>
      </c>
      <c r="M57" s="20" t="s">
        <v>11</v>
      </c>
      <c r="N57" s="20" t="s">
        <v>60</v>
      </c>
    </row>
    <row r="58" spans="1:14" x14ac:dyDescent="0.25">
      <c r="A58" s="2" t="s">
        <v>1</v>
      </c>
      <c r="B58" s="2" t="s">
        <v>58</v>
      </c>
      <c r="C58" s="2" t="s">
        <v>24</v>
      </c>
      <c r="D58" s="2" t="s">
        <v>3</v>
      </c>
      <c r="E58" s="2" t="s">
        <v>3</v>
      </c>
      <c r="F58" s="2" t="s">
        <v>3</v>
      </c>
      <c r="G58" s="2" t="s">
        <v>5</v>
      </c>
      <c r="H58" s="2" t="s">
        <v>5</v>
      </c>
      <c r="I58" s="2" t="s">
        <v>5</v>
      </c>
      <c r="J58" s="2" t="s">
        <v>5</v>
      </c>
      <c r="K58" s="2" t="s">
        <v>57</v>
      </c>
      <c r="L58" s="2" t="s">
        <v>3</v>
      </c>
      <c r="M58" s="2" t="s">
        <v>3</v>
      </c>
      <c r="N58" s="2" t="s">
        <v>58</v>
      </c>
    </row>
    <row r="59" spans="1:14" x14ac:dyDescent="0.25">
      <c r="A59" s="20"/>
      <c r="N59" s="22"/>
    </row>
    <row r="60" spans="1:14" x14ac:dyDescent="0.25">
      <c r="A60" s="20">
        <v>1</v>
      </c>
      <c r="B60" s="22">
        <f>B39</f>
        <v>90</v>
      </c>
      <c r="C60" s="19">
        <f>C39</f>
        <v>4.2500000000000003E-2</v>
      </c>
      <c r="D60" s="19">
        <f t="shared" ref="D60:F60" si="15">D39</f>
        <v>0.04</v>
      </c>
      <c r="E60" s="23">
        <f t="shared" si="15"/>
        <v>0.75</v>
      </c>
      <c r="F60" s="23">
        <f t="shared" si="15"/>
        <v>0.7</v>
      </c>
      <c r="G60" s="24">
        <f t="shared" ref="G60:N60" si="16">G39</f>
        <v>200</v>
      </c>
      <c r="H60" s="24">
        <f t="shared" si="16"/>
        <v>100</v>
      </c>
      <c r="I60" s="22">
        <f t="shared" si="16"/>
        <v>35</v>
      </c>
      <c r="J60" s="22">
        <v>1000</v>
      </c>
      <c r="K60" s="19">
        <f t="shared" si="16"/>
        <v>2.2499999999999999E-2</v>
      </c>
      <c r="L60" s="27">
        <f t="shared" si="16"/>
        <v>6.3000000000000003E-4</v>
      </c>
      <c r="M60" s="23">
        <f t="shared" si="16"/>
        <v>0.15</v>
      </c>
      <c r="N60" s="22">
        <f t="shared" si="16"/>
        <v>0</v>
      </c>
    </row>
    <row r="61" spans="1:14" x14ac:dyDescent="0.25">
      <c r="A61" s="20">
        <v>2</v>
      </c>
      <c r="B61" s="22">
        <f t="shared" ref="B61:N61" si="17">B40</f>
        <v>90</v>
      </c>
      <c r="C61" s="19">
        <f t="shared" si="17"/>
        <v>4.2500000000000003E-2</v>
      </c>
      <c r="D61" s="19">
        <f t="shared" si="17"/>
        <v>0.04</v>
      </c>
      <c r="E61" s="23">
        <f t="shared" si="17"/>
        <v>0.05</v>
      </c>
      <c r="F61" s="23">
        <f t="shared" si="17"/>
        <v>0</v>
      </c>
      <c r="G61" s="24">
        <f t="shared" si="17"/>
        <v>0.04</v>
      </c>
      <c r="H61" s="24">
        <f t="shared" si="17"/>
        <v>0.02</v>
      </c>
      <c r="I61" s="22">
        <f t="shared" si="17"/>
        <v>35.700000000000003</v>
      </c>
      <c r="J61" s="22">
        <v>1000</v>
      </c>
      <c r="K61" s="19">
        <f t="shared" si="17"/>
        <v>2.2499999999999999E-2</v>
      </c>
      <c r="L61" s="27">
        <f t="shared" si="17"/>
        <v>7.6999999999999996E-4</v>
      </c>
      <c r="M61" s="23">
        <f t="shared" si="17"/>
        <v>0.12</v>
      </c>
      <c r="N61" s="22">
        <f t="shared" si="17"/>
        <v>100</v>
      </c>
    </row>
    <row r="62" spans="1:14" x14ac:dyDescent="0.25">
      <c r="A62" s="20">
        <v>3</v>
      </c>
      <c r="B62" s="22">
        <f t="shared" ref="B62:N62" si="18">B41</f>
        <v>90</v>
      </c>
      <c r="C62" s="19">
        <f t="shared" si="18"/>
        <v>4.2500000000000003E-2</v>
      </c>
      <c r="D62" s="19">
        <f t="shared" si="18"/>
        <v>0.04</v>
      </c>
      <c r="E62" s="23">
        <f t="shared" si="18"/>
        <v>0.05</v>
      </c>
      <c r="F62" s="23">
        <f t="shared" si="18"/>
        <v>0</v>
      </c>
      <c r="G62" s="24">
        <f t="shared" si="18"/>
        <v>0.04</v>
      </c>
      <c r="H62" s="24">
        <f t="shared" si="18"/>
        <v>0.02</v>
      </c>
      <c r="I62" s="22">
        <f t="shared" si="18"/>
        <v>36.414000000000001</v>
      </c>
      <c r="J62" s="22">
        <v>1000</v>
      </c>
      <c r="K62" s="19">
        <f t="shared" si="18"/>
        <v>2.2499999999999999E-2</v>
      </c>
      <c r="L62" s="27">
        <f t="shared" si="18"/>
        <v>9.8999999999999999E-4</v>
      </c>
      <c r="M62" s="23">
        <f t="shared" si="18"/>
        <v>0.1</v>
      </c>
      <c r="N62" s="22">
        <f t="shared" si="18"/>
        <v>210</v>
      </c>
    </row>
    <row r="63" spans="1:14" x14ac:dyDescent="0.25">
      <c r="A63" s="20">
        <v>4</v>
      </c>
      <c r="B63" s="22">
        <f t="shared" ref="B63:N63" si="19">B42</f>
        <v>90</v>
      </c>
      <c r="C63" s="19">
        <f t="shared" si="19"/>
        <v>4.2500000000000003E-2</v>
      </c>
      <c r="D63" s="19">
        <f t="shared" si="19"/>
        <v>0.04</v>
      </c>
      <c r="E63" s="23">
        <f t="shared" si="19"/>
        <v>0.05</v>
      </c>
      <c r="F63" s="23">
        <f t="shared" si="19"/>
        <v>0</v>
      </c>
      <c r="G63" s="24">
        <f t="shared" si="19"/>
        <v>0.04</v>
      </c>
      <c r="H63" s="24">
        <f t="shared" si="19"/>
        <v>0.02</v>
      </c>
      <c r="I63" s="22">
        <f t="shared" si="19"/>
        <v>37.14228</v>
      </c>
      <c r="J63" s="22">
        <v>1000</v>
      </c>
      <c r="K63" s="19">
        <f t="shared" si="19"/>
        <v>2.2499999999999999E-2</v>
      </c>
      <c r="L63" s="27">
        <f t="shared" si="19"/>
        <v>1.14E-3</v>
      </c>
      <c r="M63" s="23">
        <f t="shared" si="19"/>
        <v>0.09</v>
      </c>
      <c r="N63" s="22">
        <f t="shared" si="19"/>
        <v>320</v>
      </c>
    </row>
    <row r="64" spans="1:14" x14ac:dyDescent="0.25">
      <c r="A64" s="20">
        <v>5</v>
      </c>
      <c r="B64" s="22">
        <f t="shared" ref="B64:K64" si="20">B43</f>
        <v>90</v>
      </c>
      <c r="C64" s="19">
        <f t="shared" si="20"/>
        <v>4.2500000000000003E-2</v>
      </c>
      <c r="D64" s="19">
        <f t="shared" si="20"/>
        <v>0.04</v>
      </c>
      <c r="E64" s="23">
        <f t="shared" si="20"/>
        <v>0.05</v>
      </c>
      <c r="F64" s="23">
        <f t="shared" si="20"/>
        <v>0</v>
      </c>
      <c r="G64" s="24">
        <f t="shared" si="20"/>
        <v>0.04</v>
      </c>
      <c r="H64" s="24">
        <f t="shared" si="20"/>
        <v>0.02</v>
      </c>
      <c r="I64" s="22">
        <f t="shared" si="20"/>
        <v>37.885125600000002</v>
      </c>
      <c r="J64" s="22">
        <v>1000</v>
      </c>
      <c r="K64" s="19">
        <f t="shared" si="20"/>
        <v>2.2499999999999999E-2</v>
      </c>
      <c r="L64" s="12">
        <f>L43</f>
        <v>1.6000000000000001E-3</v>
      </c>
      <c r="M64" s="23">
        <f t="shared" ref="M64:N64" si="21">M43</f>
        <v>0.08</v>
      </c>
      <c r="N64" s="22">
        <f t="shared" si="21"/>
        <v>430</v>
      </c>
    </row>
    <row r="65" spans="1:14" x14ac:dyDescent="0.25">
      <c r="A65" s="20">
        <v>6</v>
      </c>
      <c r="B65" s="22">
        <f t="shared" ref="B65:N65" si="22">B44</f>
        <v>90</v>
      </c>
      <c r="C65" s="19">
        <f t="shared" si="22"/>
        <v>4.2500000000000003E-2</v>
      </c>
      <c r="D65" s="19">
        <f t="shared" si="22"/>
        <v>0.04</v>
      </c>
      <c r="E65" s="23">
        <f t="shared" si="22"/>
        <v>0.05</v>
      </c>
      <c r="F65" s="23">
        <f t="shared" si="22"/>
        <v>0</v>
      </c>
      <c r="G65" s="24">
        <f t="shared" si="22"/>
        <v>0.04</v>
      </c>
      <c r="H65" s="24">
        <f t="shared" si="22"/>
        <v>0.02</v>
      </c>
      <c r="I65" s="22">
        <f t="shared" si="22"/>
        <v>38.642828112000004</v>
      </c>
      <c r="J65" s="22">
        <v>1000</v>
      </c>
      <c r="K65" s="19">
        <f t="shared" si="22"/>
        <v>2.2499999999999999E-2</v>
      </c>
      <c r="L65" s="12">
        <f>L44*1.05</f>
        <v>1.47E-3</v>
      </c>
      <c r="M65" s="23">
        <f t="shared" si="22"/>
        <v>7.0000000000000007E-2</v>
      </c>
      <c r="N65" s="22">
        <f t="shared" si="22"/>
        <v>540</v>
      </c>
    </row>
    <row r="66" spans="1:14" x14ac:dyDescent="0.25">
      <c r="A66" s="20">
        <v>7</v>
      </c>
      <c r="B66" s="22">
        <f t="shared" ref="B66:N66" si="23">B45</f>
        <v>90</v>
      </c>
      <c r="C66" s="19">
        <f t="shared" si="23"/>
        <v>4.2500000000000003E-2</v>
      </c>
      <c r="D66" s="19">
        <f t="shared" si="23"/>
        <v>0.04</v>
      </c>
      <c r="E66" s="23">
        <f t="shared" si="23"/>
        <v>0.05</v>
      </c>
      <c r="F66" s="23">
        <f t="shared" si="23"/>
        <v>0</v>
      </c>
      <c r="G66" s="24">
        <f t="shared" si="23"/>
        <v>0.04</v>
      </c>
      <c r="H66" s="24">
        <f t="shared" si="23"/>
        <v>0.02</v>
      </c>
      <c r="I66" s="22">
        <f t="shared" si="23"/>
        <v>39.415684674240005</v>
      </c>
      <c r="J66" s="22">
        <v>1000</v>
      </c>
      <c r="K66" s="19">
        <f t="shared" si="23"/>
        <v>2.2499999999999999E-2</v>
      </c>
      <c r="L66" s="12">
        <f t="shared" ref="L66:L69" si="24">L45*1.05</f>
        <v>1.6590000000000001E-3</v>
      </c>
      <c r="M66" s="23">
        <f t="shared" si="23"/>
        <v>0.06</v>
      </c>
      <c r="N66" s="22">
        <f t="shared" si="23"/>
        <v>650</v>
      </c>
    </row>
    <row r="67" spans="1:14" x14ac:dyDescent="0.25">
      <c r="A67" s="20">
        <v>8</v>
      </c>
      <c r="B67" s="22">
        <f t="shared" ref="B67:N67" si="25">B46</f>
        <v>90</v>
      </c>
      <c r="C67" s="19">
        <f t="shared" si="25"/>
        <v>4.2500000000000003E-2</v>
      </c>
      <c r="D67" s="19">
        <f t="shared" si="25"/>
        <v>0.04</v>
      </c>
      <c r="E67" s="23">
        <f t="shared" si="25"/>
        <v>0.05</v>
      </c>
      <c r="F67" s="23">
        <f t="shared" si="25"/>
        <v>0</v>
      </c>
      <c r="G67" s="24">
        <f t="shared" si="25"/>
        <v>0.04</v>
      </c>
      <c r="H67" s="24">
        <f t="shared" si="25"/>
        <v>0.02</v>
      </c>
      <c r="I67" s="22">
        <f t="shared" si="25"/>
        <v>40.203998367724807</v>
      </c>
      <c r="J67" s="22">
        <v>1000</v>
      </c>
      <c r="K67" s="19">
        <f t="shared" si="25"/>
        <v>2.2499999999999999E-2</v>
      </c>
      <c r="L67" s="12">
        <f t="shared" si="24"/>
        <v>1.869E-3</v>
      </c>
      <c r="M67" s="23">
        <f t="shared" si="25"/>
        <v>0.05</v>
      </c>
      <c r="N67" s="22">
        <f t="shared" si="25"/>
        <v>760</v>
      </c>
    </row>
    <row r="68" spans="1:14" x14ac:dyDescent="0.25">
      <c r="A68" s="20">
        <v>9</v>
      </c>
      <c r="B68" s="22">
        <f t="shared" ref="B68:N68" si="26">B47</f>
        <v>90</v>
      </c>
      <c r="C68" s="19">
        <f t="shared" si="26"/>
        <v>4.2500000000000003E-2</v>
      </c>
      <c r="D68" s="19">
        <f t="shared" si="26"/>
        <v>0.04</v>
      </c>
      <c r="E68" s="23">
        <f t="shared" si="26"/>
        <v>0.05</v>
      </c>
      <c r="F68" s="23">
        <f t="shared" si="26"/>
        <v>0</v>
      </c>
      <c r="G68" s="24">
        <f t="shared" si="26"/>
        <v>0.04</v>
      </c>
      <c r="H68" s="24">
        <f t="shared" si="26"/>
        <v>0.02</v>
      </c>
      <c r="I68" s="22">
        <f t="shared" si="26"/>
        <v>41.008078335079304</v>
      </c>
      <c r="J68" s="22">
        <v>1000</v>
      </c>
      <c r="K68" s="19">
        <f t="shared" si="26"/>
        <v>2.2499999999999999E-2</v>
      </c>
      <c r="L68" s="12">
        <f t="shared" si="24"/>
        <v>2.1105E-3</v>
      </c>
      <c r="M68" s="23">
        <f t="shared" si="26"/>
        <v>0.04</v>
      </c>
      <c r="N68" s="22">
        <f t="shared" si="26"/>
        <v>870</v>
      </c>
    </row>
    <row r="69" spans="1:14" x14ac:dyDescent="0.25">
      <c r="A69" s="20">
        <v>10</v>
      </c>
      <c r="B69" s="22">
        <f t="shared" ref="B69:N69" si="27">B48</f>
        <v>90</v>
      </c>
      <c r="C69" s="19">
        <f t="shared" si="27"/>
        <v>4.2500000000000003E-2</v>
      </c>
      <c r="D69" s="19">
        <f t="shared" si="27"/>
        <v>0.04</v>
      </c>
      <c r="E69" s="23">
        <f t="shared" si="27"/>
        <v>0.05</v>
      </c>
      <c r="F69" s="23">
        <f t="shared" si="27"/>
        <v>0</v>
      </c>
      <c r="G69" s="24">
        <f t="shared" si="27"/>
        <v>0.04</v>
      </c>
      <c r="H69" s="24">
        <f t="shared" si="27"/>
        <v>0.02</v>
      </c>
      <c r="I69" s="22">
        <f t="shared" si="27"/>
        <v>41.82823990178089</v>
      </c>
      <c r="J69" s="22">
        <v>1000</v>
      </c>
      <c r="K69" s="19">
        <f t="shared" si="27"/>
        <v>2.2499999999999999E-2</v>
      </c>
      <c r="L69" s="12">
        <f t="shared" si="24"/>
        <v>2.3519999999999999E-3</v>
      </c>
      <c r="M69" s="23">
        <f t="shared" si="27"/>
        <v>1</v>
      </c>
      <c r="N69" s="22">
        <f t="shared" si="27"/>
        <v>1000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89"/>
  <sheetViews>
    <sheetView topLeftCell="A166" zoomScaleNormal="100" workbookViewId="0">
      <selection activeCell="A197" sqref="A197"/>
    </sheetView>
  </sheetViews>
  <sheetFormatPr defaultColWidth="8.7109375" defaultRowHeight="15" x14ac:dyDescent="0.25"/>
  <cols>
    <col min="1" max="1" width="26" style="13" customWidth="1"/>
    <col min="2" max="3" width="15.140625" style="13" bestFit="1" customWidth="1"/>
    <col min="4" max="4" width="12.42578125" style="13" bestFit="1" customWidth="1"/>
    <col min="5" max="5" width="12.5703125" style="13" bestFit="1" customWidth="1"/>
    <col min="6" max="6" width="13.42578125" style="13" bestFit="1" customWidth="1"/>
    <col min="7" max="7" width="11.5703125" style="13" bestFit="1" customWidth="1"/>
    <col min="8" max="8" width="12.5703125" style="13" bestFit="1" customWidth="1"/>
    <col min="9" max="10" width="12.5703125" style="13" customWidth="1"/>
    <col min="11" max="11" width="12.5703125" style="13" bestFit="1" customWidth="1"/>
    <col min="12" max="12" width="13.85546875" style="13" bestFit="1" customWidth="1"/>
    <col min="13" max="14" width="11.85546875" style="13" bestFit="1" customWidth="1"/>
    <col min="15" max="15" width="8.7109375" style="13"/>
    <col min="16" max="16" width="11" style="13" bestFit="1" customWidth="1"/>
    <col min="17" max="17" width="8.7109375" style="13"/>
    <col min="18" max="18" width="6" style="13" customWidth="1"/>
    <col min="19" max="19" width="14.28515625" style="13" customWidth="1"/>
    <col min="20" max="20" width="15" style="13" customWidth="1"/>
    <col min="21" max="21" width="12.28515625" style="13" customWidth="1"/>
    <col min="22" max="22" width="13.85546875" style="13" customWidth="1"/>
    <col min="23" max="23" width="14.5703125" style="13" customWidth="1"/>
    <col min="24" max="24" width="12.5703125" style="13" customWidth="1"/>
    <col min="25" max="25" width="12.28515625" style="13" customWidth="1"/>
    <col min="26" max="26" width="12.140625" style="13" customWidth="1"/>
    <col min="27" max="27" width="0.85546875" style="13" customWidth="1"/>
    <col min="28" max="28" width="10.28515625" style="13" customWidth="1"/>
    <col min="29" max="29" width="12" style="13" customWidth="1"/>
    <col min="30" max="30" width="13.42578125" style="13" customWidth="1"/>
    <col min="31" max="31" width="13.28515625" style="13" hidden="1" customWidth="1"/>
    <col min="32" max="16384" width="8.7109375" style="13"/>
  </cols>
  <sheetData>
    <row r="1" spans="1:12" x14ac:dyDescent="0.25">
      <c r="A1" s="14" t="s">
        <v>157</v>
      </c>
    </row>
    <row r="2" spans="1:12" x14ac:dyDescent="0.25">
      <c r="A2" s="6" t="s">
        <v>168</v>
      </c>
    </row>
    <row r="3" spans="1:12" x14ac:dyDescent="0.25">
      <c r="A3" s="16" t="s">
        <v>158</v>
      </c>
    </row>
    <row r="4" spans="1:12" x14ac:dyDescent="0.25">
      <c r="A4" s="17" t="s">
        <v>169</v>
      </c>
    </row>
    <row r="6" spans="1:12" x14ac:dyDescent="0.25">
      <c r="A6" s="1" t="s">
        <v>29</v>
      </c>
      <c r="B6" s="1"/>
      <c r="C6" s="1"/>
      <c r="D6" s="1"/>
    </row>
    <row r="7" spans="1:12" x14ac:dyDescent="0.25">
      <c r="A7" s="1"/>
      <c r="B7" s="1"/>
      <c r="C7" s="1"/>
      <c r="D7" s="1"/>
    </row>
    <row r="8" spans="1:12" x14ac:dyDescent="0.25">
      <c r="A8" s="1" t="s">
        <v>84</v>
      </c>
      <c r="B8" s="1"/>
      <c r="C8" s="1"/>
      <c r="D8" s="1"/>
    </row>
    <row r="10" spans="1:12" x14ac:dyDescent="0.25">
      <c r="A10" s="3" t="s">
        <v>34</v>
      </c>
      <c r="B10" s="3"/>
      <c r="C10" s="3"/>
      <c r="D10" s="3"/>
    </row>
    <row r="12" spans="1:12" x14ac:dyDescent="0.25">
      <c r="A12" s="20" t="s">
        <v>0</v>
      </c>
      <c r="B12" s="20" t="s">
        <v>74</v>
      </c>
      <c r="C12" s="20" t="s">
        <v>74</v>
      </c>
      <c r="D12" s="20" t="s">
        <v>31</v>
      </c>
      <c r="F12" s="20" t="s">
        <v>75</v>
      </c>
      <c r="G12" s="20" t="s">
        <v>75</v>
      </c>
      <c r="H12" s="20" t="s">
        <v>66</v>
      </c>
      <c r="I12" s="20"/>
      <c r="J12" s="20"/>
    </row>
    <row r="13" spans="1:12" x14ac:dyDescent="0.25">
      <c r="A13" s="2" t="s">
        <v>1</v>
      </c>
      <c r="B13" s="2" t="s">
        <v>32</v>
      </c>
      <c r="C13" s="2" t="s">
        <v>33</v>
      </c>
      <c r="D13" s="2" t="s">
        <v>35</v>
      </c>
      <c r="F13" s="2" t="s">
        <v>32</v>
      </c>
      <c r="G13" s="2" t="s">
        <v>33</v>
      </c>
      <c r="H13" s="2" t="s">
        <v>35</v>
      </c>
      <c r="I13" s="2"/>
      <c r="J13" s="2"/>
    </row>
    <row r="14" spans="1:12" x14ac:dyDescent="0.25">
      <c r="D14" s="28">
        <f>Input!B10</f>
        <v>1000</v>
      </c>
      <c r="H14" s="29">
        <f>D14*Input!B$11</f>
        <v>100000</v>
      </c>
      <c r="I14" s="29"/>
      <c r="J14" s="29"/>
    </row>
    <row r="15" spans="1:12" x14ac:dyDescent="0.25">
      <c r="A15" s="13">
        <v>1</v>
      </c>
      <c r="B15" s="22">
        <f>Input!L18*'Actuarial balances'!D14</f>
        <v>0.63</v>
      </c>
      <c r="C15" s="28">
        <f>Input!M18*('Actuarial balances'!D14-'Actuarial balances'!B15)</f>
        <v>149.90549999999999</v>
      </c>
      <c r="D15" s="28">
        <f t="shared" ref="D15:D24" si="0">D14-B15-C15</f>
        <v>849.46450000000004</v>
      </c>
      <c r="F15" s="29">
        <f t="shared" ref="F15:F24" si="1">H$14/D$14*B15</f>
        <v>63</v>
      </c>
      <c r="G15" s="29">
        <f t="shared" ref="G15:G24" si="2">H$14/D$14*C15</f>
        <v>14990.55</v>
      </c>
      <c r="H15" s="29">
        <f t="shared" ref="H15:H24" si="3">H14-F15-G15</f>
        <v>84946.45</v>
      </c>
      <c r="I15" s="29"/>
      <c r="J15" s="29"/>
      <c r="K15" s="30"/>
      <c r="L15" s="30"/>
    </row>
    <row r="16" spans="1:12" x14ac:dyDescent="0.25">
      <c r="A16" s="13">
        <v>2</v>
      </c>
      <c r="B16" s="22">
        <f>Input!L19*'Actuarial balances'!D15</f>
        <v>0.65408766500000004</v>
      </c>
      <c r="C16" s="28">
        <f>Input!M19*('Actuarial balances'!D15-'Actuarial balances'!B16)</f>
        <v>101.8572494802</v>
      </c>
      <c r="D16" s="28">
        <f t="shared" si="0"/>
        <v>746.95316285479998</v>
      </c>
      <c r="F16" s="29">
        <f t="shared" si="1"/>
        <v>65.408766499999999</v>
      </c>
      <c r="G16" s="29">
        <f t="shared" si="2"/>
        <v>10185.724948019999</v>
      </c>
      <c r="H16" s="29">
        <f t="shared" si="3"/>
        <v>74695.316285480003</v>
      </c>
      <c r="I16" s="29"/>
      <c r="J16" s="29"/>
      <c r="K16" s="30"/>
      <c r="L16" s="30"/>
    </row>
    <row r="17" spans="1:31" x14ac:dyDescent="0.25">
      <c r="A17" s="13">
        <v>3</v>
      </c>
      <c r="B17" s="22">
        <f>Input!L20*'Actuarial balances'!D16</f>
        <v>0.73948363122625194</v>
      </c>
      <c r="C17" s="28">
        <f>Input!M20*('Actuarial balances'!D16-'Actuarial balances'!B17)</f>
        <v>74.621367922357379</v>
      </c>
      <c r="D17" s="28">
        <f t="shared" si="0"/>
        <v>671.59231130121634</v>
      </c>
      <c r="F17" s="29">
        <f t="shared" si="1"/>
        <v>73.948363122625196</v>
      </c>
      <c r="G17" s="29">
        <f t="shared" si="2"/>
        <v>7462.1367922357376</v>
      </c>
      <c r="H17" s="29">
        <f t="shared" si="3"/>
        <v>67159.23113012164</v>
      </c>
      <c r="I17" s="29"/>
      <c r="J17" s="29"/>
      <c r="K17" s="30"/>
      <c r="L17" s="30"/>
    </row>
    <row r="18" spans="1:31" x14ac:dyDescent="0.25">
      <c r="A18" s="13">
        <v>4</v>
      </c>
      <c r="B18" s="22">
        <f>Input!L21*'Actuarial balances'!D17</f>
        <v>0.76561523488338656</v>
      </c>
      <c r="C18" s="28">
        <f>Input!M21*('Actuarial balances'!D17-'Actuarial balances'!B18)</f>
        <v>60.374402645969965</v>
      </c>
      <c r="D18" s="28">
        <f t="shared" si="0"/>
        <v>610.45229342036293</v>
      </c>
      <c r="F18" s="29">
        <f t="shared" si="1"/>
        <v>76.561523488338651</v>
      </c>
      <c r="G18" s="29">
        <f t="shared" si="2"/>
        <v>6037.4402645969967</v>
      </c>
      <c r="H18" s="29">
        <f t="shared" si="3"/>
        <v>61045.229342036298</v>
      </c>
      <c r="I18" s="29"/>
      <c r="J18" s="29"/>
      <c r="K18" s="30"/>
      <c r="L18" s="30"/>
    </row>
    <row r="19" spans="1:31" x14ac:dyDescent="0.25">
      <c r="A19" s="13">
        <v>5</v>
      </c>
      <c r="B19" s="22">
        <f>Input!L22*'Actuarial balances'!D18</f>
        <v>0.78137893557806459</v>
      </c>
      <c r="C19" s="28">
        <f>Input!M22*('Actuarial balances'!D18-'Actuarial balances'!B19)</f>
        <v>48.773673158782785</v>
      </c>
      <c r="D19" s="28">
        <f t="shared" si="0"/>
        <v>560.89724132600202</v>
      </c>
      <c r="F19" s="29">
        <f t="shared" si="1"/>
        <v>78.137893557806464</v>
      </c>
      <c r="G19" s="29">
        <f t="shared" si="2"/>
        <v>4877.3673158782785</v>
      </c>
      <c r="H19" s="29">
        <f t="shared" si="3"/>
        <v>56089.724132600219</v>
      </c>
      <c r="I19" s="29"/>
      <c r="J19" s="29"/>
      <c r="K19" s="30"/>
      <c r="L19" s="30"/>
    </row>
    <row r="20" spans="1:31" x14ac:dyDescent="0.25">
      <c r="A20" s="13">
        <v>6</v>
      </c>
      <c r="B20" s="22">
        <f>Input!L23*'Actuarial balances'!D19</f>
        <v>0.7852561378564028</v>
      </c>
      <c r="C20" s="28">
        <f>Input!M23*('Actuarial balances'!D19-'Actuarial balances'!B20)</f>
        <v>39.207838963170197</v>
      </c>
      <c r="D20" s="28">
        <f t="shared" si="0"/>
        <v>520.90414622497542</v>
      </c>
      <c r="F20" s="29">
        <f t="shared" si="1"/>
        <v>78.525613785640275</v>
      </c>
      <c r="G20" s="29">
        <f t="shared" si="2"/>
        <v>3920.7838963170198</v>
      </c>
      <c r="H20" s="29">
        <f t="shared" si="3"/>
        <v>52090.414622497556</v>
      </c>
      <c r="I20" s="29"/>
      <c r="J20" s="29"/>
      <c r="K20" s="30"/>
      <c r="L20" s="30"/>
    </row>
    <row r="21" spans="1:31" x14ac:dyDescent="0.25">
      <c r="A21" s="13">
        <v>7</v>
      </c>
      <c r="B21" s="22">
        <f>Input!L24*'Actuarial balances'!D20</f>
        <v>0.82302855103546113</v>
      </c>
      <c r="C21" s="28">
        <f>Input!M24*('Actuarial balances'!D20-'Actuarial balances'!B21)</f>
        <v>31.204867060436396</v>
      </c>
      <c r="D21" s="28">
        <f t="shared" si="0"/>
        <v>488.87625061350354</v>
      </c>
      <c r="F21" s="29">
        <f t="shared" si="1"/>
        <v>82.302855103546108</v>
      </c>
      <c r="G21" s="29">
        <f t="shared" si="2"/>
        <v>3120.4867060436395</v>
      </c>
      <c r="H21" s="29">
        <f t="shared" si="3"/>
        <v>48887.625061350373</v>
      </c>
      <c r="I21" s="29"/>
      <c r="J21" s="29"/>
      <c r="K21" s="30"/>
      <c r="L21" s="30"/>
    </row>
    <row r="22" spans="1:31" x14ac:dyDescent="0.25">
      <c r="A22" s="13">
        <v>8</v>
      </c>
      <c r="B22" s="22">
        <f>Input!L25*'Actuarial balances'!D21</f>
        <v>0.87019972609203622</v>
      </c>
      <c r="C22" s="28">
        <f>Input!M25*('Actuarial balances'!D21-'Actuarial balances'!B22)</f>
        <v>24.400302544370575</v>
      </c>
      <c r="D22" s="28">
        <f t="shared" si="0"/>
        <v>463.60574834304094</v>
      </c>
      <c r="F22" s="29">
        <f t="shared" si="1"/>
        <v>87.01997260920362</v>
      </c>
      <c r="G22" s="29">
        <f t="shared" si="2"/>
        <v>2440.0302544370575</v>
      </c>
      <c r="H22" s="29">
        <f t="shared" si="3"/>
        <v>46360.574834304112</v>
      </c>
      <c r="I22" s="29"/>
      <c r="J22" s="29"/>
      <c r="K22" s="30"/>
      <c r="L22" s="30"/>
    </row>
    <row r="23" spans="1:31" x14ac:dyDescent="0.25">
      <c r="A23" s="13">
        <v>9</v>
      </c>
      <c r="B23" s="22">
        <f>Input!L26*'Actuarial balances'!D22</f>
        <v>0.93184755416951237</v>
      </c>
      <c r="C23" s="28">
        <f>Input!M26*('Actuarial balances'!D22-'Actuarial balances'!B23)</f>
        <v>18.506956031554857</v>
      </c>
      <c r="D23" s="28">
        <f t="shared" si="0"/>
        <v>444.16694475731657</v>
      </c>
      <c r="F23" s="29">
        <f t="shared" si="1"/>
        <v>93.184755416951234</v>
      </c>
      <c r="G23" s="29">
        <f t="shared" si="2"/>
        <v>1850.6956031554857</v>
      </c>
      <c r="H23" s="29">
        <f t="shared" si="3"/>
        <v>44416.694475731674</v>
      </c>
      <c r="I23" s="29"/>
      <c r="J23" s="29"/>
      <c r="K23" s="30"/>
      <c r="L23" s="30"/>
    </row>
    <row r="24" spans="1:31" x14ac:dyDescent="0.25">
      <c r="A24" s="13">
        <v>10</v>
      </c>
      <c r="B24" s="22">
        <f>Input!L27*'Actuarial balances'!D23</f>
        <v>0.99493395625638903</v>
      </c>
      <c r="C24" s="28">
        <f>Input!M27*('Actuarial balances'!D23-'Actuarial balances'!B24)</f>
        <v>443.1720108010602</v>
      </c>
      <c r="D24" s="28">
        <f t="shared" si="0"/>
        <v>0</v>
      </c>
      <c r="F24" s="29">
        <f t="shared" si="1"/>
        <v>99.493395625638897</v>
      </c>
      <c r="G24" s="29">
        <f t="shared" si="2"/>
        <v>44317.201080106017</v>
      </c>
      <c r="H24" s="29">
        <f t="shared" si="3"/>
        <v>0</v>
      </c>
      <c r="I24" s="29"/>
      <c r="J24" s="29"/>
      <c r="K24" s="30"/>
      <c r="L24" s="30"/>
    </row>
    <row r="25" spans="1:31" x14ac:dyDescent="0.25">
      <c r="B25" s="28"/>
      <c r="C25" s="28"/>
      <c r="D25" s="28"/>
      <c r="E25" s="28"/>
      <c r="F25" s="28"/>
      <c r="G25" s="28"/>
      <c r="H25" s="28"/>
      <c r="I25" s="28"/>
      <c r="J25" s="28"/>
    </row>
    <row r="26" spans="1:31" x14ac:dyDescent="0.25">
      <c r="A26" s="3" t="s">
        <v>67</v>
      </c>
    </row>
    <row r="28" spans="1:31" x14ac:dyDescent="0.25">
      <c r="B28" s="31"/>
    </row>
    <row r="29" spans="1:31" x14ac:dyDescent="0.25">
      <c r="C29" s="20" t="s">
        <v>71</v>
      </c>
      <c r="D29" s="20" t="s">
        <v>72</v>
      </c>
      <c r="G29" s="20"/>
      <c r="H29" s="20" t="s">
        <v>73</v>
      </c>
      <c r="I29" s="20"/>
      <c r="J29" s="20" t="s">
        <v>99</v>
      </c>
      <c r="O29" s="72"/>
      <c r="P29" s="72"/>
      <c r="Q29" s="72"/>
      <c r="R29" s="70" t="s">
        <v>143</v>
      </c>
      <c r="S29" s="70"/>
      <c r="T29" s="70"/>
      <c r="U29" s="70"/>
      <c r="V29" s="70"/>
      <c r="W29" s="70"/>
      <c r="X29" s="70"/>
      <c r="Y29" s="39" t="s">
        <v>73</v>
      </c>
      <c r="Z29" s="39"/>
      <c r="AA29" s="39" t="s">
        <v>99</v>
      </c>
      <c r="AB29" s="39"/>
      <c r="AC29" s="39"/>
      <c r="AD29" s="39"/>
      <c r="AE29" s="39"/>
    </row>
    <row r="30" spans="1:31" x14ac:dyDescent="0.25">
      <c r="A30" s="20" t="s">
        <v>0</v>
      </c>
      <c r="B30" s="20" t="s">
        <v>62</v>
      </c>
      <c r="C30" s="20" t="s">
        <v>61</v>
      </c>
      <c r="D30" s="20" t="s">
        <v>61</v>
      </c>
      <c r="F30" s="20"/>
      <c r="G30" s="20" t="s">
        <v>9</v>
      </c>
      <c r="H30" s="20" t="s">
        <v>9</v>
      </c>
      <c r="I30" s="20" t="s">
        <v>98</v>
      </c>
      <c r="J30" s="20" t="s">
        <v>98</v>
      </c>
      <c r="K30" s="20" t="s">
        <v>43</v>
      </c>
      <c r="L30" s="20" t="s">
        <v>11</v>
      </c>
      <c r="M30" s="20" t="s">
        <v>18</v>
      </c>
      <c r="N30" s="20" t="s">
        <v>76</v>
      </c>
      <c r="R30" s="40" t="s">
        <v>0</v>
      </c>
      <c r="S30" s="40" t="s">
        <v>61</v>
      </c>
      <c r="T30" s="39" t="s">
        <v>61</v>
      </c>
      <c r="U30" s="39" t="s">
        <v>61</v>
      </c>
      <c r="V30" s="40" t="s">
        <v>131</v>
      </c>
      <c r="W30" s="39"/>
      <c r="X30" s="40" t="s">
        <v>130</v>
      </c>
      <c r="Y30" s="39" t="s">
        <v>9</v>
      </c>
      <c r="Z30" s="40" t="s">
        <v>98</v>
      </c>
      <c r="AA30" s="39" t="s">
        <v>98</v>
      </c>
      <c r="AB30" s="40" t="s">
        <v>43</v>
      </c>
      <c r="AC30" s="40" t="s">
        <v>11</v>
      </c>
      <c r="AD30" s="40" t="s">
        <v>18</v>
      </c>
      <c r="AE30" s="40" t="s">
        <v>76</v>
      </c>
    </row>
    <row r="31" spans="1:31" x14ac:dyDescent="0.25">
      <c r="A31" s="2" t="s">
        <v>1</v>
      </c>
      <c r="B31" s="2" t="s">
        <v>70</v>
      </c>
      <c r="C31" s="2" t="s">
        <v>68</v>
      </c>
      <c r="D31" s="2" t="s">
        <v>68</v>
      </c>
      <c r="E31" s="2" t="s">
        <v>4</v>
      </c>
      <c r="F31" s="2" t="s">
        <v>69</v>
      </c>
      <c r="G31" s="2" t="s">
        <v>5</v>
      </c>
      <c r="H31" s="2" t="s">
        <v>5</v>
      </c>
      <c r="I31" s="2" t="s">
        <v>5</v>
      </c>
      <c r="J31" s="2" t="s">
        <v>5</v>
      </c>
      <c r="K31" s="2" t="s">
        <v>44</v>
      </c>
      <c r="L31" s="2" t="s">
        <v>44</v>
      </c>
      <c r="M31" s="2" t="s">
        <v>44</v>
      </c>
      <c r="N31" s="2" t="s">
        <v>44</v>
      </c>
      <c r="R31" s="41" t="s">
        <v>1</v>
      </c>
      <c r="S31" s="41" t="s">
        <v>3</v>
      </c>
      <c r="T31" s="39" t="s">
        <v>68</v>
      </c>
      <c r="U31" s="39" t="s">
        <v>68</v>
      </c>
      <c r="V31" s="41" t="s">
        <v>4</v>
      </c>
      <c r="W31" s="39" t="s">
        <v>69</v>
      </c>
      <c r="X31" s="41" t="s">
        <v>5</v>
      </c>
      <c r="Y31" s="39" t="s">
        <v>5</v>
      </c>
      <c r="Z31" s="41" t="s">
        <v>5</v>
      </c>
      <c r="AA31" s="39" t="s">
        <v>5</v>
      </c>
      <c r="AB31" s="41" t="s">
        <v>44</v>
      </c>
      <c r="AC31" s="41" t="s">
        <v>44</v>
      </c>
      <c r="AD31" s="41" t="s">
        <v>44</v>
      </c>
      <c r="AE31" s="41" t="s">
        <v>44</v>
      </c>
    </row>
    <row r="32" spans="1:31" x14ac:dyDescent="0.25">
      <c r="A32" s="20"/>
      <c r="R32" s="41"/>
      <c r="S32" s="41"/>
      <c r="T32" s="41"/>
      <c r="U32" s="41"/>
      <c r="V32" s="41"/>
      <c r="W32" s="41"/>
      <c r="X32" s="41"/>
      <c r="Y32" s="41"/>
      <c r="Z32" s="41"/>
      <c r="AA32" s="41"/>
      <c r="AB32" s="41"/>
      <c r="AC32" s="41"/>
      <c r="AD32" s="41"/>
      <c r="AE32" s="41"/>
    </row>
    <row r="33" spans="1:31" x14ac:dyDescent="0.25">
      <c r="A33" s="20">
        <v>1</v>
      </c>
      <c r="B33" s="32">
        <f>Input!D18</f>
        <v>0.04</v>
      </c>
      <c r="C33" s="33">
        <v>1</v>
      </c>
      <c r="D33" s="34">
        <f>C34</f>
        <v>0.96153846153846145</v>
      </c>
      <c r="E33" s="24">
        <f>H14*Input!B18</f>
        <v>9000000</v>
      </c>
      <c r="F33" s="24">
        <f>E33*C33</f>
        <v>9000000</v>
      </c>
      <c r="G33" s="24">
        <f>D14*Input!I18</f>
        <v>35000</v>
      </c>
      <c r="H33" s="24">
        <f>C33*G33</f>
        <v>35000</v>
      </c>
      <c r="I33" s="24">
        <f>B15*Input!J18</f>
        <v>630</v>
      </c>
      <c r="J33" s="24">
        <f>I33*D33</f>
        <v>605.76923076923072</v>
      </c>
      <c r="K33" s="24">
        <f>F15*1000</f>
        <v>63000</v>
      </c>
      <c r="L33" s="24">
        <f>G15*Input!N18</f>
        <v>0</v>
      </c>
      <c r="M33" s="24">
        <f t="shared" ref="M33:M42" si="4">K33+L33</f>
        <v>63000</v>
      </c>
      <c r="N33" s="24">
        <f>D33*M33</f>
        <v>60576.923076923071</v>
      </c>
      <c r="R33" s="42">
        <f>A33</f>
        <v>1</v>
      </c>
      <c r="S33" s="43">
        <f t="shared" ref="S33:AE45" si="5">B33</f>
        <v>0.04</v>
      </c>
      <c r="T33" s="42">
        <f t="shared" si="5"/>
        <v>1</v>
      </c>
      <c r="U33" s="42">
        <f t="shared" si="5"/>
        <v>0.96153846153846145</v>
      </c>
      <c r="V33" s="44">
        <f t="shared" si="5"/>
        <v>9000000</v>
      </c>
      <c r="W33" s="42">
        <f t="shared" si="5"/>
        <v>9000000</v>
      </c>
      <c r="X33" s="44">
        <f t="shared" si="5"/>
        <v>35000</v>
      </c>
      <c r="Y33" s="42">
        <f t="shared" si="5"/>
        <v>35000</v>
      </c>
      <c r="Z33" s="44">
        <f t="shared" si="5"/>
        <v>630</v>
      </c>
      <c r="AA33" s="42">
        <f t="shared" si="5"/>
        <v>605.76923076923072</v>
      </c>
      <c r="AB33" s="44">
        <f t="shared" si="5"/>
        <v>63000</v>
      </c>
      <c r="AC33" s="44">
        <f t="shared" si="5"/>
        <v>0</v>
      </c>
      <c r="AD33" s="44">
        <f t="shared" si="5"/>
        <v>63000</v>
      </c>
      <c r="AE33" s="44">
        <f t="shared" si="5"/>
        <v>60576.923076923071</v>
      </c>
    </row>
    <row r="34" spans="1:31" x14ac:dyDescent="0.25">
      <c r="A34" s="20">
        <v>2</v>
      </c>
      <c r="B34" s="32">
        <f>Input!D19</f>
        <v>0.04</v>
      </c>
      <c r="C34" s="33">
        <f t="shared" ref="C34:C42" si="6">C33/(1+B33)</f>
        <v>0.96153846153846145</v>
      </c>
      <c r="D34" s="33">
        <f t="shared" ref="D34:D42" si="7">D33/(1+B33)</f>
        <v>0.92455621301775137</v>
      </c>
      <c r="E34" s="24">
        <f>H15*Input!B19</f>
        <v>7645180.5</v>
      </c>
      <c r="F34" s="24">
        <f t="shared" ref="F34:F42" si="8">E34*C34</f>
        <v>7351135.0961538451</v>
      </c>
      <c r="G34" s="24">
        <f>D15*Input!I19</f>
        <v>30325.882650000003</v>
      </c>
      <c r="H34" s="24">
        <f t="shared" ref="H34:H42" si="9">C34*G34</f>
        <v>29159.502548076922</v>
      </c>
      <c r="I34" s="24">
        <f>B16*Input!J19</f>
        <v>654.08766500000002</v>
      </c>
      <c r="J34" s="24">
        <f t="shared" ref="J34:J42" si="10">I34*D34</f>
        <v>604.74081453402357</v>
      </c>
      <c r="K34" s="24">
        <f t="shared" ref="K34:K42" si="11">F16*1000</f>
        <v>65408.766499999998</v>
      </c>
      <c r="L34" s="24">
        <f>G16*Input!N19</f>
        <v>1018572.4948019999</v>
      </c>
      <c r="M34" s="24">
        <f t="shared" si="4"/>
        <v>1083981.2613019999</v>
      </c>
      <c r="N34" s="24">
        <f t="shared" ref="N34:N42" si="12">D34*M34</f>
        <v>1002201.6099315826</v>
      </c>
      <c r="R34" s="42">
        <f t="shared" ref="R34:R42" si="13">A34</f>
        <v>2</v>
      </c>
      <c r="S34" s="43">
        <f t="shared" si="5"/>
        <v>0.04</v>
      </c>
      <c r="T34" s="42">
        <f t="shared" si="5"/>
        <v>0.96153846153846145</v>
      </c>
      <c r="U34" s="42">
        <f t="shared" si="5"/>
        <v>0.92455621301775137</v>
      </c>
      <c r="V34" s="44">
        <f t="shared" si="5"/>
        <v>7645180.5</v>
      </c>
      <c r="W34" s="42">
        <f t="shared" si="5"/>
        <v>7351135.0961538451</v>
      </c>
      <c r="X34" s="44">
        <f t="shared" si="5"/>
        <v>30325.882650000003</v>
      </c>
      <c r="Y34" s="42">
        <f t="shared" si="5"/>
        <v>29159.502548076922</v>
      </c>
      <c r="Z34" s="44">
        <f t="shared" si="5"/>
        <v>654.08766500000002</v>
      </c>
      <c r="AA34" s="42">
        <f t="shared" si="5"/>
        <v>604.74081453402357</v>
      </c>
      <c r="AB34" s="44">
        <f t="shared" si="5"/>
        <v>65408.766499999998</v>
      </c>
      <c r="AC34" s="44">
        <f t="shared" si="5"/>
        <v>1018572.4948019999</v>
      </c>
      <c r="AD34" s="44">
        <f t="shared" si="5"/>
        <v>1083981.2613019999</v>
      </c>
      <c r="AE34" s="44">
        <f t="shared" si="5"/>
        <v>1002201.6099315826</v>
      </c>
    </row>
    <row r="35" spans="1:31" x14ac:dyDescent="0.25">
      <c r="A35" s="20">
        <v>3</v>
      </c>
      <c r="B35" s="32">
        <f>Input!D20</f>
        <v>0.04</v>
      </c>
      <c r="C35" s="33">
        <f t="shared" si="6"/>
        <v>0.92455621301775137</v>
      </c>
      <c r="D35" s="33">
        <f t="shared" si="7"/>
        <v>0.88899635867091475</v>
      </c>
      <c r="E35" s="24">
        <f>H16*Input!B20</f>
        <v>6722578.4656932</v>
      </c>
      <c r="F35" s="24">
        <f t="shared" si="8"/>
        <v>6215401.6879559904</v>
      </c>
      <c r="G35" s="24">
        <f>D16*Input!I20</f>
        <v>27199.552472194689</v>
      </c>
      <c r="H35" s="24">
        <f t="shared" si="9"/>
        <v>25147.51522946994</v>
      </c>
      <c r="I35" s="24">
        <f>B17*Input!J20</f>
        <v>739.48363122625199</v>
      </c>
      <c r="J35" s="24">
        <f t="shared" si="10"/>
        <v>657.39825545688359</v>
      </c>
      <c r="K35" s="24">
        <f t="shared" si="11"/>
        <v>73948.363122625189</v>
      </c>
      <c r="L35" s="24">
        <f>G17*Input!N20</f>
        <v>1567048.7263695048</v>
      </c>
      <c r="M35" s="24">
        <f t="shared" si="4"/>
        <v>1640997.0894921301</v>
      </c>
      <c r="N35" s="24">
        <f t="shared" si="12"/>
        <v>1458840.437148073</v>
      </c>
      <c r="R35" s="42">
        <f t="shared" si="13"/>
        <v>3</v>
      </c>
      <c r="S35" s="43">
        <f t="shared" si="5"/>
        <v>0.04</v>
      </c>
      <c r="T35" s="42">
        <f t="shared" si="5"/>
        <v>0.92455621301775137</v>
      </c>
      <c r="U35" s="42">
        <f t="shared" si="5"/>
        <v>0.88899635867091475</v>
      </c>
      <c r="V35" s="44">
        <f t="shared" si="5"/>
        <v>6722578.4656932</v>
      </c>
      <c r="W35" s="42">
        <f t="shared" si="5"/>
        <v>6215401.6879559904</v>
      </c>
      <c r="X35" s="44">
        <f t="shared" si="5"/>
        <v>27199.552472194689</v>
      </c>
      <c r="Y35" s="42">
        <f t="shared" si="5"/>
        <v>25147.51522946994</v>
      </c>
      <c r="Z35" s="44">
        <f t="shared" si="5"/>
        <v>739.48363122625199</v>
      </c>
      <c r="AA35" s="42">
        <f t="shared" si="5"/>
        <v>657.39825545688359</v>
      </c>
      <c r="AB35" s="44">
        <f t="shared" si="5"/>
        <v>73948.363122625189</v>
      </c>
      <c r="AC35" s="44">
        <f t="shared" si="5"/>
        <v>1567048.7263695048</v>
      </c>
      <c r="AD35" s="44">
        <f t="shared" si="5"/>
        <v>1640997.0894921301</v>
      </c>
      <c r="AE35" s="44">
        <f t="shared" si="5"/>
        <v>1458840.437148073</v>
      </c>
    </row>
    <row r="36" spans="1:31" x14ac:dyDescent="0.25">
      <c r="A36" s="20">
        <v>4</v>
      </c>
      <c r="B36" s="32">
        <f>Input!D21</f>
        <v>0.04</v>
      </c>
      <c r="C36" s="33">
        <f t="shared" si="6"/>
        <v>0.88899635867091475</v>
      </c>
      <c r="D36" s="33">
        <f t="shared" si="7"/>
        <v>0.85480419102972571</v>
      </c>
      <c r="E36" s="24">
        <f>H17*Input!B21</f>
        <v>6044330.8017109474</v>
      </c>
      <c r="F36" s="24">
        <f t="shared" si="8"/>
        <v>5373388.0733234836</v>
      </c>
      <c r="G36" s="24">
        <f>D17*Input!I21</f>
        <v>24944.469672196941</v>
      </c>
      <c r="H36" s="24">
        <f t="shared" si="9"/>
        <v>22175.542707560147</v>
      </c>
      <c r="I36" s="24">
        <f>B18*Input!J21</f>
        <v>765.61523488338662</v>
      </c>
      <c r="J36" s="24">
        <f t="shared" si="10"/>
        <v>654.45111149452669</v>
      </c>
      <c r="K36" s="24">
        <f t="shared" si="11"/>
        <v>76561.523488338644</v>
      </c>
      <c r="L36" s="24">
        <f>G18*Input!N21</f>
        <v>1931980.8846710389</v>
      </c>
      <c r="M36" s="24">
        <f t="shared" si="4"/>
        <v>2008542.4081593775</v>
      </c>
      <c r="N36" s="24">
        <f t="shared" si="12"/>
        <v>1716910.4683555739</v>
      </c>
      <c r="R36" s="42">
        <f t="shared" si="13"/>
        <v>4</v>
      </c>
      <c r="S36" s="43">
        <f t="shared" si="5"/>
        <v>0.04</v>
      </c>
      <c r="T36" s="42">
        <f t="shared" si="5"/>
        <v>0.88899635867091475</v>
      </c>
      <c r="U36" s="42">
        <f t="shared" si="5"/>
        <v>0.85480419102972571</v>
      </c>
      <c r="V36" s="44">
        <f t="shared" si="5"/>
        <v>6044330.8017109474</v>
      </c>
      <c r="W36" s="42">
        <f t="shared" si="5"/>
        <v>5373388.0733234836</v>
      </c>
      <c r="X36" s="44">
        <f t="shared" si="5"/>
        <v>24944.469672196941</v>
      </c>
      <c r="Y36" s="42">
        <f t="shared" si="5"/>
        <v>22175.542707560147</v>
      </c>
      <c r="Z36" s="44">
        <f t="shared" si="5"/>
        <v>765.61523488338662</v>
      </c>
      <c r="AA36" s="42">
        <f t="shared" si="5"/>
        <v>654.45111149452669</v>
      </c>
      <c r="AB36" s="44">
        <f t="shared" si="5"/>
        <v>76561.523488338644</v>
      </c>
      <c r="AC36" s="44">
        <f t="shared" si="5"/>
        <v>1931980.8846710389</v>
      </c>
      <c r="AD36" s="44">
        <f t="shared" si="5"/>
        <v>2008542.4081593775</v>
      </c>
      <c r="AE36" s="44">
        <f t="shared" si="5"/>
        <v>1716910.4683555739</v>
      </c>
    </row>
    <row r="37" spans="1:31" x14ac:dyDescent="0.25">
      <c r="A37" s="20">
        <v>5</v>
      </c>
      <c r="B37" s="32">
        <f>Input!D22</f>
        <v>0.04</v>
      </c>
      <c r="C37" s="33">
        <f t="shared" si="6"/>
        <v>0.85480419102972571</v>
      </c>
      <c r="D37" s="33">
        <f t="shared" si="7"/>
        <v>0.82192710675935166</v>
      </c>
      <c r="E37" s="24">
        <f>H18*Input!B22</f>
        <v>5494070.6407832671</v>
      </c>
      <c r="F37" s="24">
        <f t="shared" si="8"/>
        <v>4696354.6095549073</v>
      </c>
      <c r="G37" s="24">
        <f>D18*Input!I22</f>
        <v>23127.061809038503</v>
      </c>
      <c r="H37" s="24">
        <f t="shared" si="9"/>
        <v>19769.109360569622</v>
      </c>
      <c r="I37" s="24">
        <f>B19*Input!J22</f>
        <v>781.37893557806456</v>
      </c>
      <c r="J37" s="24">
        <f t="shared" si="10"/>
        <v>642.23652780238046</v>
      </c>
      <c r="K37" s="24">
        <f t="shared" si="11"/>
        <v>78137.89355780647</v>
      </c>
      <c r="L37" s="24">
        <f>G19*Input!N22</f>
        <v>2097267.9458276597</v>
      </c>
      <c r="M37" s="24">
        <f t="shared" si="4"/>
        <v>2175405.8393854662</v>
      </c>
      <c r="N37" s="24">
        <f t="shared" si="12"/>
        <v>1788025.0275934951</v>
      </c>
      <c r="R37" s="42">
        <f t="shared" si="13"/>
        <v>5</v>
      </c>
      <c r="S37" s="43">
        <f t="shared" si="5"/>
        <v>0.04</v>
      </c>
      <c r="T37" s="42">
        <f t="shared" si="5"/>
        <v>0.85480419102972571</v>
      </c>
      <c r="U37" s="42">
        <f t="shared" si="5"/>
        <v>0.82192710675935166</v>
      </c>
      <c r="V37" s="44">
        <f t="shared" si="5"/>
        <v>5494070.6407832671</v>
      </c>
      <c r="W37" s="42">
        <f t="shared" si="5"/>
        <v>4696354.6095549073</v>
      </c>
      <c r="X37" s="44">
        <f t="shared" si="5"/>
        <v>23127.061809038503</v>
      </c>
      <c r="Y37" s="42">
        <f t="shared" si="5"/>
        <v>19769.109360569622</v>
      </c>
      <c r="Z37" s="44">
        <f t="shared" si="5"/>
        <v>781.37893557806456</v>
      </c>
      <c r="AA37" s="42">
        <f t="shared" si="5"/>
        <v>642.23652780238046</v>
      </c>
      <c r="AB37" s="44">
        <f t="shared" si="5"/>
        <v>78137.89355780647</v>
      </c>
      <c r="AC37" s="44">
        <f t="shared" si="5"/>
        <v>2097267.9458276597</v>
      </c>
      <c r="AD37" s="44">
        <f t="shared" si="5"/>
        <v>2175405.8393854662</v>
      </c>
      <c r="AE37" s="44">
        <f t="shared" si="5"/>
        <v>1788025.0275934951</v>
      </c>
    </row>
    <row r="38" spans="1:31" x14ac:dyDescent="0.25">
      <c r="A38" s="20">
        <v>6</v>
      </c>
      <c r="B38" s="32">
        <f>Input!D23</f>
        <v>0.04</v>
      </c>
      <c r="C38" s="33">
        <f t="shared" si="6"/>
        <v>0.82192710675935166</v>
      </c>
      <c r="D38" s="33">
        <f t="shared" si="7"/>
        <v>0.79031452573014582</v>
      </c>
      <c r="E38" s="24">
        <f>H19*Input!B23</f>
        <v>5048075.1719340198</v>
      </c>
      <c r="F38" s="24">
        <f t="shared" si="8"/>
        <v>4149149.8207714455</v>
      </c>
      <c r="G38" s="24">
        <f>D19*Input!I23</f>
        <v>21674.655685055681</v>
      </c>
      <c r="H38" s="24">
        <f t="shared" si="9"/>
        <v>17814.987037222949</v>
      </c>
      <c r="I38" s="24">
        <f>B20*Input!J23</f>
        <v>785.2561378564028</v>
      </c>
      <c r="J38" s="24">
        <f t="shared" si="10"/>
        <v>620.599332166669</v>
      </c>
      <c r="K38" s="24">
        <f t="shared" si="11"/>
        <v>78525.613785640278</v>
      </c>
      <c r="L38" s="24">
        <f>G20*Input!N23</f>
        <v>2117223.3040111908</v>
      </c>
      <c r="M38" s="24">
        <f t="shared" si="4"/>
        <v>2195748.9177968311</v>
      </c>
      <c r="N38" s="24">
        <f t="shared" si="12"/>
        <v>1735332.2645910836</v>
      </c>
      <c r="R38" s="42">
        <f t="shared" si="13"/>
        <v>6</v>
      </c>
      <c r="S38" s="43">
        <f t="shared" si="5"/>
        <v>0.04</v>
      </c>
      <c r="T38" s="42">
        <f t="shared" si="5"/>
        <v>0.82192710675935166</v>
      </c>
      <c r="U38" s="42">
        <f t="shared" si="5"/>
        <v>0.79031452573014582</v>
      </c>
      <c r="V38" s="44">
        <f t="shared" si="5"/>
        <v>5048075.1719340198</v>
      </c>
      <c r="W38" s="42">
        <f t="shared" si="5"/>
        <v>4149149.8207714455</v>
      </c>
      <c r="X38" s="44">
        <f t="shared" si="5"/>
        <v>21674.655685055681</v>
      </c>
      <c r="Y38" s="42">
        <f t="shared" si="5"/>
        <v>17814.987037222949</v>
      </c>
      <c r="Z38" s="44">
        <f t="shared" si="5"/>
        <v>785.2561378564028</v>
      </c>
      <c r="AA38" s="42">
        <f t="shared" si="5"/>
        <v>620.599332166669</v>
      </c>
      <c r="AB38" s="44">
        <f t="shared" si="5"/>
        <v>78525.613785640278</v>
      </c>
      <c r="AC38" s="44">
        <f t="shared" si="5"/>
        <v>2117223.3040111908</v>
      </c>
      <c r="AD38" s="44">
        <f t="shared" si="5"/>
        <v>2195748.9177968311</v>
      </c>
      <c r="AE38" s="44">
        <f t="shared" si="5"/>
        <v>1735332.2645910836</v>
      </c>
    </row>
    <row r="39" spans="1:31" x14ac:dyDescent="0.25">
      <c r="A39" s="20">
        <v>7</v>
      </c>
      <c r="B39" s="32">
        <f>Input!D24</f>
        <v>0.04</v>
      </c>
      <c r="C39" s="33">
        <f t="shared" si="6"/>
        <v>0.79031452573014582</v>
      </c>
      <c r="D39" s="33">
        <f t="shared" si="7"/>
        <v>0.75991781320206331</v>
      </c>
      <c r="E39" s="24">
        <f>H20*Input!B24</f>
        <v>4688137.3160247803</v>
      </c>
      <c r="F39" s="24">
        <f t="shared" si="8"/>
        <v>3705103.0194719229</v>
      </c>
      <c r="G39" s="24">
        <f>D20*Input!I24</f>
        <v>20531.79357310784</v>
      </c>
      <c r="H39" s="24">
        <f t="shared" si="9"/>
        <v>16226.574700119978</v>
      </c>
      <c r="I39" s="24">
        <f>B21*Input!J24</f>
        <v>823.02855103546108</v>
      </c>
      <c r="J39" s="24">
        <f t="shared" si="10"/>
        <v>625.43405670573031</v>
      </c>
      <c r="K39" s="24">
        <f t="shared" si="11"/>
        <v>82302.855103546113</v>
      </c>
      <c r="L39" s="24">
        <f>G21*Input!N24</f>
        <v>2028316.3589283656</v>
      </c>
      <c r="M39" s="24">
        <f t="shared" si="4"/>
        <v>2110619.2140319119</v>
      </c>
      <c r="N39" s="24">
        <f t="shared" si="12"/>
        <v>1603897.1376293881</v>
      </c>
      <c r="R39" s="42">
        <f t="shared" si="13"/>
        <v>7</v>
      </c>
      <c r="S39" s="43">
        <f t="shared" si="5"/>
        <v>0.04</v>
      </c>
      <c r="T39" s="42">
        <f t="shared" si="5"/>
        <v>0.79031452573014582</v>
      </c>
      <c r="U39" s="42">
        <f t="shared" si="5"/>
        <v>0.75991781320206331</v>
      </c>
      <c r="V39" s="44">
        <f t="shared" si="5"/>
        <v>4688137.3160247803</v>
      </c>
      <c r="W39" s="42">
        <f t="shared" si="5"/>
        <v>3705103.0194719229</v>
      </c>
      <c r="X39" s="44">
        <f t="shared" si="5"/>
        <v>20531.79357310784</v>
      </c>
      <c r="Y39" s="42">
        <f t="shared" si="5"/>
        <v>16226.574700119978</v>
      </c>
      <c r="Z39" s="44">
        <f t="shared" si="5"/>
        <v>823.02855103546108</v>
      </c>
      <c r="AA39" s="42">
        <f t="shared" si="5"/>
        <v>625.43405670573031</v>
      </c>
      <c r="AB39" s="44">
        <f t="shared" si="5"/>
        <v>82302.855103546113</v>
      </c>
      <c r="AC39" s="44">
        <f t="shared" si="5"/>
        <v>2028316.3589283656</v>
      </c>
      <c r="AD39" s="44">
        <f t="shared" si="5"/>
        <v>2110619.2140319119</v>
      </c>
      <c r="AE39" s="44">
        <f t="shared" si="5"/>
        <v>1603897.1376293881</v>
      </c>
    </row>
    <row r="40" spans="1:31" x14ac:dyDescent="0.25">
      <c r="A40" s="20">
        <v>8</v>
      </c>
      <c r="B40" s="32">
        <f>Input!D25</f>
        <v>0.04</v>
      </c>
      <c r="C40" s="33">
        <f t="shared" si="6"/>
        <v>0.75991781320206331</v>
      </c>
      <c r="D40" s="33">
        <f t="shared" si="7"/>
        <v>0.73069020500198389</v>
      </c>
      <c r="E40" s="24">
        <f>H21*Input!B25</f>
        <v>4399886.2555215331</v>
      </c>
      <c r="F40" s="24">
        <f t="shared" si="8"/>
        <v>3343551.9416337381</v>
      </c>
      <c r="G40" s="24">
        <f>D21*Input!I25</f>
        <v>19654.779981684722</v>
      </c>
      <c r="H40" s="24">
        <f t="shared" si="9"/>
        <v>14936.017422649544</v>
      </c>
      <c r="I40" s="24">
        <f>B22*Input!J25</f>
        <v>870.19972609203626</v>
      </c>
      <c r="J40" s="24">
        <f t="shared" si="10"/>
        <v>635.84641625086022</v>
      </c>
      <c r="K40" s="24">
        <f t="shared" si="11"/>
        <v>87019.972609203614</v>
      </c>
      <c r="L40" s="24">
        <f>G22*Input!N25</f>
        <v>1854422.9933721637</v>
      </c>
      <c r="M40" s="24">
        <f t="shared" si="4"/>
        <v>1941442.9659813673</v>
      </c>
      <c r="N40" s="24">
        <f t="shared" si="12"/>
        <v>1418593.358812585</v>
      </c>
      <c r="R40" s="42">
        <f t="shared" si="13"/>
        <v>8</v>
      </c>
      <c r="S40" s="43">
        <f t="shared" si="5"/>
        <v>0.04</v>
      </c>
      <c r="T40" s="42">
        <f t="shared" si="5"/>
        <v>0.75991781320206331</v>
      </c>
      <c r="U40" s="42">
        <f t="shared" si="5"/>
        <v>0.73069020500198389</v>
      </c>
      <c r="V40" s="44">
        <f t="shared" si="5"/>
        <v>4399886.2555215331</v>
      </c>
      <c r="W40" s="42">
        <f t="shared" si="5"/>
        <v>3343551.9416337381</v>
      </c>
      <c r="X40" s="44">
        <f t="shared" si="5"/>
        <v>19654.779981684722</v>
      </c>
      <c r="Y40" s="42">
        <f t="shared" si="5"/>
        <v>14936.017422649544</v>
      </c>
      <c r="Z40" s="44">
        <f t="shared" si="5"/>
        <v>870.19972609203626</v>
      </c>
      <c r="AA40" s="42">
        <f t="shared" si="5"/>
        <v>635.84641625086022</v>
      </c>
      <c r="AB40" s="44">
        <f t="shared" si="5"/>
        <v>87019.972609203614</v>
      </c>
      <c r="AC40" s="44">
        <f t="shared" si="5"/>
        <v>1854422.9933721637</v>
      </c>
      <c r="AD40" s="44">
        <f t="shared" si="5"/>
        <v>1941442.9659813673</v>
      </c>
      <c r="AE40" s="44">
        <f t="shared" si="5"/>
        <v>1418593.358812585</v>
      </c>
    </row>
    <row r="41" spans="1:31" x14ac:dyDescent="0.25">
      <c r="A41" s="20">
        <v>9</v>
      </c>
      <c r="B41" s="32">
        <f>Input!D26</f>
        <v>0.04</v>
      </c>
      <c r="C41" s="33">
        <f t="shared" si="6"/>
        <v>0.73069020500198389</v>
      </c>
      <c r="D41" s="33">
        <f t="shared" si="7"/>
        <v>0.70258673557883067</v>
      </c>
      <c r="E41" s="24">
        <f>H22*Input!B26</f>
        <v>4172451.73508737</v>
      </c>
      <c r="F41" s="24">
        <f t="shared" si="8"/>
        <v>3048769.6136718737</v>
      </c>
      <c r="G41" s="24">
        <f>D22*Input!I26</f>
        <v>19011.580844644486</v>
      </c>
      <c r="H41" s="24">
        <f t="shared" si="9"/>
        <v>13891.57590478507</v>
      </c>
      <c r="I41" s="24">
        <f>B23*Input!J26</f>
        <v>931.84755416951236</v>
      </c>
      <c r="J41" s="24">
        <f t="shared" si="10"/>
        <v>654.70373114107531</v>
      </c>
      <c r="K41" s="24">
        <f t="shared" si="11"/>
        <v>93184.75541695123</v>
      </c>
      <c r="L41" s="24">
        <f>G23*Input!N26</f>
        <v>1610105.1747452726</v>
      </c>
      <c r="M41" s="24">
        <f t="shared" si="4"/>
        <v>1703289.9301622238</v>
      </c>
      <c r="N41" s="24">
        <f t="shared" si="12"/>
        <v>1196708.9117769713</v>
      </c>
      <c r="R41" s="42">
        <f t="shared" si="13"/>
        <v>9</v>
      </c>
      <c r="S41" s="43">
        <f t="shared" si="5"/>
        <v>0.04</v>
      </c>
      <c r="T41" s="42">
        <f t="shared" si="5"/>
        <v>0.73069020500198389</v>
      </c>
      <c r="U41" s="42">
        <f t="shared" si="5"/>
        <v>0.70258673557883067</v>
      </c>
      <c r="V41" s="44">
        <f t="shared" si="5"/>
        <v>4172451.73508737</v>
      </c>
      <c r="W41" s="42">
        <f t="shared" si="5"/>
        <v>3048769.6136718737</v>
      </c>
      <c r="X41" s="44">
        <f t="shared" si="5"/>
        <v>19011.580844644486</v>
      </c>
      <c r="Y41" s="42">
        <f t="shared" si="5"/>
        <v>13891.57590478507</v>
      </c>
      <c r="Z41" s="44">
        <f t="shared" si="5"/>
        <v>931.84755416951236</v>
      </c>
      <c r="AA41" s="42">
        <f t="shared" si="5"/>
        <v>654.70373114107531</v>
      </c>
      <c r="AB41" s="44">
        <f t="shared" si="5"/>
        <v>93184.75541695123</v>
      </c>
      <c r="AC41" s="44">
        <f t="shared" si="5"/>
        <v>1610105.1747452726</v>
      </c>
      <c r="AD41" s="44">
        <f t="shared" si="5"/>
        <v>1703289.9301622238</v>
      </c>
      <c r="AE41" s="44">
        <f t="shared" si="5"/>
        <v>1196708.9117769713</v>
      </c>
    </row>
    <row r="42" spans="1:31" x14ac:dyDescent="0.25">
      <c r="A42" s="20">
        <v>10</v>
      </c>
      <c r="B42" s="32">
        <f>Input!D27</f>
        <v>0.04</v>
      </c>
      <c r="C42" s="33">
        <f t="shared" si="6"/>
        <v>0.70258673557883067</v>
      </c>
      <c r="D42" s="33">
        <f t="shared" si="7"/>
        <v>0.67556416882579873</v>
      </c>
      <c r="E42" s="24">
        <f>H23*Input!B27</f>
        <v>3997502.5028158505</v>
      </c>
      <c r="F42" s="24">
        <f t="shared" si="8"/>
        <v>2808592.233921594</v>
      </c>
      <c r="G42" s="24">
        <f>D23*Input!I27</f>
        <v>18578.721521750096</v>
      </c>
      <c r="H42" s="24">
        <f t="shared" si="9"/>
        <v>13053.163305194565</v>
      </c>
      <c r="I42" s="24">
        <f>B24*Input!J27</f>
        <v>994.93395625638902</v>
      </c>
      <c r="J42" s="24">
        <f t="shared" si="10"/>
        <v>672.14173119491102</v>
      </c>
      <c r="K42" s="24">
        <f t="shared" si="11"/>
        <v>99493.395625638892</v>
      </c>
      <c r="L42" s="24">
        <f>G24*Input!N27</f>
        <v>44317201.08010602</v>
      </c>
      <c r="M42" s="24">
        <f t="shared" si="4"/>
        <v>44416694.475731656</v>
      </c>
      <c r="N42" s="24">
        <f t="shared" si="12"/>
        <v>30006327.2854871</v>
      </c>
      <c r="R42" s="42">
        <f t="shared" si="13"/>
        <v>10</v>
      </c>
      <c r="S42" s="43">
        <f t="shared" si="5"/>
        <v>0.04</v>
      </c>
      <c r="T42" s="42">
        <f t="shared" si="5"/>
        <v>0.70258673557883067</v>
      </c>
      <c r="U42" s="42">
        <f t="shared" si="5"/>
        <v>0.67556416882579873</v>
      </c>
      <c r="V42" s="44">
        <f t="shared" si="5"/>
        <v>3997502.5028158505</v>
      </c>
      <c r="W42" s="42">
        <f t="shared" si="5"/>
        <v>2808592.233921594</v>
      </c>
      <c r="X42" s="44">
        <f t="shared" si="5"/>
        <v>18578.721521750096</v>
      </c>
      <c r="Y42" s="42">
        <f t="shared" si="5"/>
        <v>13053.163305194565</v>
      </c>
      <c r="Z42" s="44">
        <f t="shared" si="5"/>
        <v>994.93395625638902</v>
      </c>
      <c r="AA42" s="42">
        <f t="shared" si="5"/>
        <v>672.14173119491102</v>
      </c>
      <c r="AB42" s="44">
        <f t="shared" si="5"/>
        <v>99493.395625638892</v>
      </c>
      <c r="AC42" s="44">
        <f t="shared" si="5"/>
        <v>44317201.08010602</v>
      </c>
      <c r="AD42" s="44">
        <f t="shared" si="5"/>
        <v>44416694.475731656</v>
      </c>
      <c r="AE42" s="44">
        <f t="shared" si="5"/>
        <v>30006327.2854871</v>
      </c>
    </row>
    <row r="43" spans="1:31" x14ac:dyDescent="0.25">
      <c r="B43" s="28"/>
      <c r="C43" s="28"/>
      <c r="D43" s="28"/>
      <c r="F43" s="24"/>
      <c r="G43" s="28"/>
      <c r="H43" s="28"/>
      <c r="I43" s="28"/>
      <c r="J43" s="28"/>
      <c r="R43" s="45"/>
      <c r="S43" s="45"/>
      <c r="T43" s="45"/>
      <c r="U43" s="45"/>
      <c r="V43" s="45"/>
      <c r="W43" s="45">
        <f t="shared" si="5"/>
        <v>0</v>
      </c>
      <c r="X43" s="45"/>
      <c r="Y43" s="45">
        <f t="shared" si="5"/>
        <v>0</v>
      </c>
      <c r="Z43" s="46"/>
      <c r="AA43" s="45">
        <f t="shared" si="5"/>
        <v>0</v>
      </c>
      <c r="AB43" s="47"/>
      <c r="AC43" s="47"/>
      <c r="AD43" s="47"/>
      <c r="AE43" s="47">
        <f t="shared" si="5"/>
        <v>0</v>
      </c>
    </row>
    <row r="44" spans="1:31" x14ac:dyDescent="0.25">
      <c r="A44" s="20" t="s">
        <v>77</v>
      </c>
      <c r="B44" s="28"/>
      <c r="C44" s="28"/>
      <c r="D44" s="28"/>
      <c r="F44" s="24">
        <f>SUM(F33:F43)</f>
        <v>49691446.096458808</v>
      </c>
      <c r="G44" s="28"/>
      <c r="H44" s="24">
        <f>SUM(H33:H43)</f>
        <v>207173.98821564871</v>
      </c>
      <c r="I44" s="24"/>
      <c r="J44" s="24">
        <f>SUM(J33:J43)</f>
        <v>6373.3212075162901</v>
      </c>
      <c r="N44" s="35">
        <f>SUM(N33:N43)</f>
        <v>41987413.424402773</v>
      </c>
      <c r="P44" s="35"/>
      <c r="R44" s="73" t="s">
        <v>132</v>
      </c>
      <c r="S44" s="75"/>
      <c r="T44" s="48"/>
      <c r="U44" s="48"/>
      <c r="V44" s="44">
        <f>W44</f>
        <v>49691446.096458808</v>
      </c>
      <c r="W44" s="48">
        <f t="shared" si="5"/>
        <v>49691446.096458808</v>
      </c>
      <c r="X44" s="44">
        <f>Y44</f>
        <v>207173.98821564871</v>
      </c>
      <c r="Y44" s="42">
        <f t="shared" si="5"/>
        <v>207173.98821564871</v>
      </c>
      <c r="Z44" s="44">
        <f>AA44</f>
        <v>6373.3212075162901</v>
      </c>
      <c r="AA44" s="42">
        <f t="shared" si="5"/>
        <v>6373.3212075162901</v>
      </c>
      <c r="AB44" s="49"/>
      <c r="AC44" s="49"/>
      <c r="AD44" s="49"/>
      <c r="AE44" s="44">
        <f t="shared" si="5"/>
        <v>41987413.424402773</v>
      </c>
    </row>
    <row r="45" spans="1:31" x14ac:dyDescent="0.25">
      <c r="A45" s="13" t="s">
        <v>78</v>
      </c>
      <c r="B45" s="28"/>
      <c r="C45" s="28"/>
      <c r="D45" s="28"/>
      <c r="G45" s="28"/>
      <c r="H45" s="23">
        <f>H44/F44</f>
        <v>4.1692082740657586E-3</v>
      </c>
      <c r="I45" s="23"/>
      <c r="J45" s="19">
        <f>J44/F44</f>
        <v>1.2825791374927357E-4</v>
      </c>
      <c r="K45" s="28"/>
      <c r="L45" s="28"/>
      <c r="N45" s="23">
        <f>N44/F44</f>
        <v>0.84496259865125856</v>
      </c>
      <c r="R45" s="73" t="s">
        <v>129</v>
      </c>
      <c r="S45" s="74"/>
      <c r="T45" s="74"/>
      <c r="U45" s="74"/>
      <c r="V45" s="75"/>
      <c r="W45" s="48">
        <f t="shared" si="5"/>
        <v>0</v>
      </c>
      <c r="X45" s="50">
        <f>Y45</f>
        <v>4.1692082740657586E-3</v>
      </c>
      <c r="Y45" s="51">
        <f t="shared" si="5"/>
        <v>4.1692082740657586E-3</v>
      </c>
      <c r="Z45" s="50">
        <f>AA45</f>
        <v>1.2825791374927357E-4</v>
      </c>
      <c r="AA45" s="52">
        <f t="shared" si="5"/>
        <v>1.2825791374927357E-4</v>
      </c>
      <c r="AB45" s="42"/>
      <c r="AC45" s="42"/>
      <c r="AD45" s="42"/>
      <c r="AE45" s="53">
        <f t="shared" si="5"/>
        <v>0.84496259865125856</v>
      </c>
    </row>
    <row r="46" spans="1:31" x14ac:dyDescent="0.25">
      <c r="B46" s="28"/>
      <c r="C46" s="28"/>
      <c r="D46" s="28"/>
      <c r="E46" s="28"/>
      <c r="F46" s="28"/>
      <c r="G46" s="28"/>
      <c r="H46" s="28"/>
      <c r="I46" s="28"/>
      <c r="J46" s="28"/>
    </row>
    <row r="47" spans="1:31" x14ac:dyDescent="0.25">
      <c r="A47" s="13" t="s">
        <v>79</v>
      </c>
      <c r="B47" s="28"/>
      <c r="C47" s="28"/>
      <c r="D47" s="28"/>
      <c r="E47" s="28"/>
      <c r="F47" s="30">
        <f>J45+N45</f>
        <v>0.84509085656500782</v>
      </c>
      <c r="G47" s="28"/>
      <c r="H47" s="28"/>
      <c r="I47" s="28"/>
      <c r="J47" s="28"/>
    </row>
    <row r="48" spans="1:31" x14ac:dyDescent="0.25">
      <c r="B48" s="28"/>
      <c r="C48" s="28"/>
      <c r="D48" s="28"/>
      <c r="E48" s="28"/>
      <c r="F48" s="28"/>
      <c r="G48" s="28"/>
      <c r="H48" s="28"/>
      <c r="I48" s="28"/>
      <c r="J48" s="28"/>
    </row>
    <row r="49" spans="1:22" x14ac:dyDescent="0.25">
      <c r="A49" s="3" t="s">
        <v>80</v>
      </c>
      <c r="B49" s="28"/>
      <c r="C49" s="28"/>
      <c r="D49" s="28"/>
      <c r="E49" s="28"/>
      <c r="F49" s="28">
        <f>F44*F47</f>
        <v>41993786.745610289</v>
      </c>
      <c r="G49" s="28"/>
      <c r="H49" s="28" t="s">
        <v>100</v>
      </c>
      <c r="I49" s="28"/>
      <c r="J49" s="28"/>
    </row>
    <row r="50" spans="1:22" x14ac:dyDescent="0.25">
      <c r="B50" s="28"/>
      <c r="C50" s="28"/>
      <c r="D50" s="28"/>
      <c r="E50" s="28"/>
      <c r="F50" s="28"/>
      <c r="G50" s="28"/>
      <c r="H50" s="28"/>
      <c r="I50" s="28"/>
      <c r="J50" s="28"/>
    </row>
    <row r="51" spans="1:22" x14ac:dyDescent="0.25">
      <c r="C51" s="20"/>
      <c r="D51" s="20"/>
      <c r="G51" s="20"/>
      <c r="H51" s="20"/>
      <c r="I51" s="20"/>
      <c r="J51" s="20"/>
      <c r="R51" s="13" t="s">
        <v>144</v>
      </c>
    </row>
    <row r="52" spans="1:22" x14ac:dyDescent="0.25">
      <c r="A52" s="20" t="s">
        <v>0</v>
      </c>
      <c r="B52" s="20"/>
      <c r="C52" s="20" t="s">
        <v>82</v>
      </c>
      <c r="D52" s="20" t="s">
        <v>18</v>
      </c>
      <c r="E52" s="20" t="s">
        <v>98</v>
      </c>
      <c r="F52" s="20" t="s">
        <v>83</v>
      </c>
      <c r="G52" s="20"/>
      <c r="H52" s="20" t="s">
        <v>101</v>
      </c>
      <c r="I52" s="20" t="s">
        <v>102</v>
      </c>
      <c r="J52" s="20" t="s">
        <v>102</v>
      </c>
      <c r="K52" s="20" t="s">
        <v>104</v>
      </c>
      <c r="L52" s="20" t="s">
        <v>105</v>
      </c>
      <c r="M52" s="20"/>
      <c r="N52" s="20"/>
      <c r="R52" s="40" t="s">
        <v>101</v>
      </c>
      <c r="S52" s="40" t="s">
        <v>102</v>
      </c>
      <c r="T52" s="40" t="s">
        <v>102</v>
      </c>
      <c r="U52" s="40" t="s">
        <v>104</v>
      </c>
      <c r="V52" s="40" t="s">
        <v>105</v>
      </c>
    </row>
    <row r="53" spans="1:22" x14ac:dyDescent="0.25">
      <c r="A53" s="2" t="s">
        <v>1</v>
      </c>
      <c r="B53" s="2" t="s">
        <v>81</v>
      </c>
      <c r="C53" s="2" t="s">
        <v>64</v>
      </c>
      <c r="D53" s="2" t="s">
        <v>44</v>
      </c>
      <c r="E53" s="2" t="s">
        <v>37</v>
      </c>
      <c r="F53" s="2" t="s">
        <v>62</v>
      </c>
      <c r="G53" s="2"/>
      <c r="H53" s="2" t="s">
        <v>1</v>
      </c>
      <c r="I53" s="2" t="s">
        <v>103</v>
      </c>
      <c r="J53" s="2" t="s">
        <v>44</v>
      </c>
      <c r="K53" s="2" t="s">
        <v>37</v>
      </c>
      <c r="L53" s="2" t="s">
        <v>62</v>
      </c>
      <c r="M53" s="2"/>
      <c r="N53" s="2"/>
      <c r="R53" s="41" t="s">
        <v>1</v>
      </c>
      <c r="S53" s="41" t="s">
        <v>103</v>
      </c>
      <c r="T53" s="41" t="s">
        <v>44</v>
      </c>
      <c r="U53" s="41" t="s">
        <v>37</v>
      </c>
      <c r="V53" s="41" t="s">
        <v>62</v>
      </c>
    </row>
    <row r="54" spans="1:22" x14ac:dyDescent="0.25">
      <c r="A54" s="20"/>
      <c r="F54" s="24">
        <v>0</v>
      </c>
      <c r="H54" s="20">
        <v>0</v>
      </c>
      <c r="I54" s="24">
        <f>NPV($B$33,B55:B$65)*(1+$B$33)</f>
        <v>41993786.745610274</v>
      </c>
      <c r="J54" s="24">
        <f>NPV($B$33,D55:D$65)</f>
        <v>-41987413.424402766</v>
      </c>
      <c r="K54" s="24">
        <f>NPV($B$33,E55:E$65)</f>
        <v>-6373.3212075162901</v>
      </c>
      <c r="L54" s="24">
        <f>F54</f>
        <v>0</v>
      </c>
      <c r="M54" s="24"/>
      <c r="R54" s="54">
        <f>H54</f>
        <v>0</v>
      </c>
      <c r="S54" s="55">
        <f t="shared" ref="S54:V64" si="14">I54</f>
        <v>41993786.745610274</v>
      </c>
      <c r="T54" s="55">
        <f t="shared" si="14"/>
        <v>-41987413.424402766</v>
      </c>
      <c r="U54" s="55">
        <f t="shared" si="14"/>
        <v>-6373.3212075162901</v>
      </c>
      <c r="V54" s="55">
        <f t="shared" si="14"/>
        <v>0</v>
      </c>
    </row>
    <row r="55" spans="1:22" x14ac:dyDescent="0.25">
      <c r="A55" s="20">
        <v>1</v>
      </c>
      <c r="B55" s="24">
        <f>F$47*E33</f>
        <v>7605817.7090850705</v>
      </c>
      <c r="C55" s="24">
        <f>B33*(F54+B55)</f>
        <v>304232.70836340281</v>
      </c>
      <c r="D55" s="24">
        <f>-M33</f>
        <v>-63000</v>
      </c>
      <c r="E55" s="24">
        <f>-I33</f>
        <v>-630</v>
      </c>
      <c r="F55" s="24">
        <f>F54+SUM(B55:E55)</f>
        <v>7846420.4174484732</v>
      </c>
      <c r="G55" s="24"/>
      <c r="H55" s="20">
        <v>1</v>
      </c>
      <c r="I55" s="24">
        <f>NPV($B$33,B56:B$65)*(1+$B$33)</f>
        <v>35763487.797986217</v>
      </c>
      <c r="J55" s="24">
        <f>NPV($B$33,D56:D$65)</f>
        <v>-43603909.961378887</v>
      </c>
      <c r="K55" s="24">
        <f>NPV($B$33,E56:E$65)</f>
        <v>-5998.254055816943</v>
      </c>
      <c r="L55" s="24">
        <f>-SUM(I55:K55)</f>
        <v>7846420.4174484871</v>
      </c>
      <c r="M55" s="24"/>
      <c r="N55" s="24"/>
      <c r="R55" s="54">
        <f t="shared" ref="R55:R64" si="15">H55</f>
        <v>1</v>
      </c>
      <c r="S55" s="55">
        <f t="shared" si="14"/>
        <v>35763487.797986217</v>
      </c>
      <c r="T55" s="55">
        <f t="shared" si="14"/>
        <v>-43603909.961378887</v>
      </c>
      <c r="U55" s="55">
        <f t="shared" si="14"/>
        <v>-5998.254055816943</v>
      </c>
      <c r="V55" s="55">
        <f t="shared" si="14"/>
        <v>7846420.4174484871</v>
      </c>
    </row>
    <row r="56" spans="1:22" x14ac:dyDescent="0.25">
      <c r="A56" s="20">
        <v>2</v>
      </c>
      <c r="B56" s="24">
        <f t="shared" ref="B56:B64" si="16">F$47*E34</f>
        <v>6460872.1373390947</v>
      </c>
      <c r="C56" s="24">
        <f t="shared" ref="C56:C64" si="17">B34*(F55+B56)</f>
        <v>572291.70219150279</v>
      </c>
      <c r="D56" s="24">
        <f t="shared" ref="D56:D64" si="18">-M34</f>
        <v>-1083981.2613019999</v>
      </c>
      <c r="E56" s="24">
        <f t="shared" ref="E56:E64" si="19">-I34</f>
        <v>-654.08766500000002</v>
      </c>
      <c r="F56" s="24">
        <f t="shared" ref="F56:F64" si="20">F55+SUM(B56:E56)</f>
        <v>13794948.90801207</v>
      </c>
      <c r="G56" s="24"/>
      <c r="H56" s="20">
        <v>2</v>
      </c>
      <c r="I56" s="24">
        <f>NPV($B$33,B57:B$65)*(1+$B$33)</f>
        <v>30474720.287073012</v>
      </c>
      <c r="J56" s="24">
        <f>NPV($B$33,D57:D$65)</f>
        <v>-44264085.098532036</v>
      </c>
      <c r="K56" s="24">
        <f>NPV($B$33,E57:E$65)</f>
        <v>-5584.0965530496205</v>
      </c>
      <c r="L56" s="24">
        <f t="shared" ref="L56:L64" si="21">-SUM(I56:K56)</f>
        <v>13794948.908012073</v>
      </c>
      <c r="M56" s="24"/>
      <c r="N56" s="24"/>
      <c r="R56" s="54">
        <f t="shared" si="15"/>
        <v>2</v>
      </c>
      <c r="S56" s="55">
        <f t="shared" si="14"/>
        <v>30474720.287073012</v>
      </c>
      <c r="T56" s="55">
        <f t="shared" si="14"/>
        <v>-44264085.098532036</v>
      </c>
      <c r="U56" s="55">
        <f t="shared" si="14"/>
        <v>-5584.0965530496205</v>
      </c>
      <c r="V56" s="55">
        <f t="shared" si="14"/>
        <v>13794948.908012073</v>
      </c>
    </row>
    <row r="57" spans="1:22" x14ac:dyDescent="0.25">
      <c r="A57" s="20">
        <v>3</v>
      </c>
      <c r="B57" s="24">
        <f t="shared" si="16"/>
        <v>5681189.5938981427</v>
      </c>
      <c r="C57" s="24">
        <f t="shared" si="17"/>
        <v>779045.54007640854</v>
      </c>
      <c r="D57" s="24">
        <f t="shared" si="18"/>
        <v>-1640997.0894921301</v>
      </c>
      <c r="E57" s="24">
        <f t="shared" si="19"/>
        <v>-739.48363122625199</v>
      </c>
      <c r="F57" s="24">
        <f t="shared" si="20"/>
        <v>18613447.468863264</v>
      </c>
      <c r="G57" s="24"/>
      <c r="H57" s="20">
        <v>3</v>
      </c>
      <c r="I57" s="24">
        <f>NPV($B$33,B58:B$65)*(1+$B$33)</f>
        <v>25785271.920901865</v>
      </c>
      <c r="J57" s="24">
        <f>NPV($B$33,D58:D$65)</f>
        <v>-44393651.41298119</v>
      </c>
      <c r="K57" s="24">
        <f>NPV($B$33,E58:E$65)</f>
        <v>-5067.9767839453534</v>
      </c>
      <c r="L57" s="24">
        <f t="shared" si="21"/>
        <v>18613447.468863271</v>
      </c>
      <c r="M57" s="24"/>
      <c r="N57" s="24"/>
      <c r="R57" s="54">
        <f t="shared" si="15"/>
        <v>3</v>
      </c>
      <c r="S57" s="55">
        <f t="shared" si="14"/>
        <v>25785271.920901865</v>
      </c>
      <c r="T57" s="55">
        <f t="shared" si="14"/>
        <v>-44393651.41298119</v>
      </c>
      <c r="U57" s="55">
        <f t="shared" si="14"/>
        <v>-5067.9767839453534</v>
      </c>
      <c r="V57" s="55">
        <f t="shared" si="14"/>
        <v>18613447.468863271</v>
      </c>
    </row>
    <row r="58" spans="1:22" x14ac:dyDescent="0.25">
      <c r="A58" s="20">
        <v>4</v>
      </c>
      <c r="B58" s="24">
        <f t="shared" si="16"/>
        <v>5108008.6945801647</v>
      </c>
      <c r="C58" s="24">
        <f t="shared" si="17"/>
        <v>948858.24653773708</v>
      </c>
      <c r="D58" s="24">
        <f t="shared" si="18"/>
        <v>-2008542.4081593775</v>
      </c>
      <c r="E58" s="24">
        <f t="shared" si="19"/>
        <v>-765.61523488338662</v>
      </c>
      <c r="F58" s="24">
        <f t="shared" si="20"/>
        <v>22661006.386586905</v>
      </c>
      <c r="G58" s="24"/>
      <c r="H58" s="20">
        <v>4</v>
      </c>
      <c r="I58" s="24">
        <f>NPV($B$33,B59:B$65)*(1+$B$33)</f>
        <v>21504353.755374569</v>
      </c>
      <c r="J58" s="24">
        <f>NPV($B$33,D59:D$65)</f>
        <v>-44160855.061341062</v>
      </c>
      <c r="K58" s="24">
        <f>NPV($B$33,E59:E$65)</f>
        <v>-4505.0806204197816</v>
      </c>
      <c r="L58" s="24">
        <f t="shared" si="21"/>
        <v>22661006.386586912</v>
      </c>
      <c r="M58" s="24"/>
      <c r="N58" s="24"/>
      <c r="R58" s="54">
        <f t="shared" si="15"/>
        <v>4</v>
      </c>
      <c r="S58" s="55">
        <f t="shared" si="14"/>
        <v>21504353.755374569</v>
      </c>
      <c r="T58" s="55">
        <f t="shared" si="14"/>
        <v>-44160855.061341062</v>
      </c>
      <c r="U58" s="55">
        <f t="shared" si="14"/>
        <v>-4505.0806204197816</v>
      </c>
      <c r="V58" s="55">
        <f t="shared" si="14"/>
        <v>22661006.386586912</v>
      </c>
    </row>
    <row r="59" spans="1:22" x14ac:dyDescent="0.25">
      <c r="A59" s="20">
        <v>5</v>
      </c>
      <c r="B59" s="24">
        <f t="shared" si="16"/>
        <v>4642988.8638481926</v>
      </c>
      <c r="C59" s="24">
        <f t="shared" si="17"/>
        <v>1092159.8100174039</v>
      </c>
      <c r="D59" s="24">
        <f t="shared" si="18"/>
        <v>-2175405.8393854662</v>
      </c>
      <c r="E59" s="24">
        <f t="shared" si="19"/>
        <v>-781.37893557806456</v>
      </c>
      <c r="F59" s="24">
        <f t="shared" si="20"/>
        <v>26219967.842131458</v>
      </c>
      <c r="G59" s="24"/>
      <c r="H59" s="20">
        <v>5</v>
      </c>
      <c r="I59" s="24">
        <f>NPV($B$33,B60:B$65)*(1+$B$33)</f>
        <v>17535819.487187434</v>
      </c>
      <c r="J59" s="24">
        <f>NPV($B$33,D60:D$65)</f>
        <v>-43751883.424409248</v>
      </c>
      <c r="K59" s="24">
        <f>NPV($B$33,E60:E$65)</f>
        <v>-3903.9049096585081</v>
      </c>
      <c r="L59" s="24">
        <f t="shared" si="21"/>
        <v>26219967.842131473</v>
      </c>
      <c r="M59" s="24"/>
      <c r="N59" s="31"/>
      <c r="R59" s="54">
        <f t="shared" si="15"/>
        <v>5</v>
      </c>
      <c r="S59" s="55">
        <f t="shared" si="14"/>
        <v>17535819.487187434</v>
      </c>
      <c r="T59" s="55">
        <f t="shared" si="14"/>
        <v>-43751883.424409248</v>
      </c>
      <c r="U59" s="55">
        <f t="shared" si="14"/>
        <v>-3903.9049096585081</v>
      </c>
      <c r="V59" s="55">
        <f t="shared" si="14"/>
        <v>26219967.842131473</v>
      </c>
    </row>
    <row r="60" spans="1:22" x14ac:dyDescent="0.25">
      <c r="A60" s="20">
        <v>6</v>
      </c>
      <c r="B60" s="24">
        <f t="shared" si="16"/>
        <v>4266082.1710542701</v>
      </c>
      <c r="C60" s="24">
        <f t="shared" si="17"/>
        <v>1219442.0005274292</v>
      </c>
      <c r="D60" s="24">
        <f t="shared" si="18"/>
        <v>-2195748.9177968311</v>
      </c>
      <c r="E60" s="24">
        <f t="shared" si="19"/>
        <v>-785.2561378564028</v>
      </c>
      <c r="F60" s="24">
        <f t="shared" si="20"/>
        <v>29508957.839778472</v>
      </c>
      <c r="G60" s="24"/>
      <c r="H60" s="20">
        <v>6</v>
      </c>
      <c r="I60" s="24">
        <f>NPV($B$33,B61:B$65)*(1+$B$33)</f>
        <v>13800526.808778491</v>
      </c>
      <c r="J60" s="24">
        <f>NPV($B$33,D61:D$65)</f>
        <v>-43306209.843588792</v>
      </c>
      <c r="K60" s="24">
        <f>NPV($B$33,E61:E$65)</f>
        <v>-3274.8049681884454</v>
      </c>
      <c r="L60" s="24">
        <f t="shared" si="21"/>
        <v>29508957.83977849</v>
      </c>
      <c r="M60" s="24"/>
      <c r="N60" s="24"/>
      <c r="R60" s="54">
        <f t="shared" si="15"/>
        <v>6</v>
      </c>
      <c r="S60" s="55">
        <f t="shared" si="14"/>
        <v>13800526.808778491</v>
      </c>
      <c r="T60" s="55">
        <f t="shared" si="14"/>
        <v>-43306209.843588792</v>
      </c>
      <c r="U60" s="55">
        <f t="shared" si="14"/>
        <v>-3274.8049681884454</v>
      </c>
      <c r="V60" s="55">
        <f t="shared" si="14"/>
        <v>29508957.83977849</v>
      </c>
    </row>
    <row r="61" spans="1:22" x14ac:dyDescent="0.25">
      <c r="A61" s="20">
        <v>7</v>
      </c>
      <c r="B61" s="24">
        <f t="shared" si="16"/>
        <v>3961901.9800937586</v>
      </c>
      <c r="C61" s="24">
        <f t="shared" si="17"/>
        <v>1338834.3927948892</v>
      </c>
      <c r="D61" s="24">
        <f t="shared" si="18"/>
        <v>-2110619.2140319119</v>
      </c>
      <c r="E61" s="24">
        <f t="shared" si="19"/>
        <v>-823.02855103546108</v>
      </c>
      <c r="F61" s="24">
        <f t="shared" si="20"/>
        <v>32698251.970084172</v>
      </c>
      <c r="G61" s="24"/>
      <c r="H61" s="20">
        <v>7</v>
      </c>
      <c r="I61" s="24">
        <f>NPV($B$33,B62:B$65)*(1+$B$33)</f>
        <v>10232169.82183212</v>
      </c>
      <c r="J61" s="24">
        <f>NPV($B$33,D62:D$65)</f>
        <v>-42927839.023300432</v>
      </c>
      <c r="K61" s="24">
        <f>NPV($B$33,E62:E$65)</f>
        <v>-2582.7686158805227</v>
      </c>
      <c r="L61" s="24">
        <f t="shared" si="21"/>
        <v>32698251.97008419</v>
      </c>
      <c r="M61" s="24"/>
      <c r="N61" s="24"/>
      <c r="R61" s="54">
        <f t="shared" si="15"/>
        <v>7</v>
      </c>
      <c r="S61" s="55">
        <f t="shared" si="14"/>
        <v>10232169.82183212</v>
      </c>
      <c r="T61" s="55">
        <f t="shared" si="14"/>
        <v>-42927839.023300432</v>
      </c>
      <c r="U61" s="55">
        <f t="shared" si="14"/>
        <v>-2582.7686158805227</v>
      </c>
      <c r="V61" s="55">
        <f t="shared" si="14"/>
        <v>32698251.97008419</v>
      </c>
    </row>
    <row r="62" spans="1:22" x14ac:dyDescent="0.25">
      <c r="A62" s="20">
        <v>8</v>
      </c>
      <c r="B62" s="24">
        <f t="shared" si="16"/>
        <v>3718303.6444672975</v>
      </c>
      <c r="C62" s="24">
        <f t="shared" si="17"/>
        <v>1456662.2245820588</v>
      </c>
      <c r="D62" s="24">
        <f t="shared" si="18"/>
        <v>-1941442.9659813673</v>
      </c>
      <c r="E62" s="24">
        <f t="shared" si="19"/>
        <v>-870.19972609203626</v>
      </c>
      <c r="F62" s="24">
        <f t="shared" si="20"/>
        <v>35930904.673426069</v>
      </c>
      <c r="G62" s="24"/>
      <c r="H62" s="20">
        <v>8</v>
      </c>
      <c r="I62" s="24">
        <f>NPV($B$33,B63:B$65)*(1+$B$33)</f>
        <v>6774420.8244594168</v>
      </c>
      <c r="J62" s="24">
        <f>NPV($B$33,D63:D$65)</f>
        <v>-42703509.618251078</v>
      </c>
      <c r="K62" s="24">
        <f>NPV($B$33,E63:E$65)</f>
        <v>-1815.8796344237071</v>
      </c>
      <c r="L62" s="24">
        <f t="shared" si="21"/>
        <v>35930904.673426084</v>
      </c>
      <c r="M62" s="24"/>
      <c r="N62" s="24"/>
      <c r="R62" s="54">
        <f t="shared" si="15"/>
        <v>8</v>
      </c>
      <c r="S62" s="55">
        <f t="shared" si="14"/>
        <v>6774420.8244594168</v>
      </c>
      <c r="T62" s="55">
        <f t="shared" si="14"/>
        <v>-42703509.618251078</v>
      </c>
      <c r="U62" s="55">
        <f t="shared" si="14"/>
        <v>-1815.8796344237071</v>
      </c>
      <c r="V62" s="55">
        <f t="shared" si="14"/>
        <v>35930904.673426084</v>
      </c>
    </row>
    <row r="63" spans="1:22" x14ac:dyDescent="0.25">
      <c r="A63" s="20">
        <v>9</v>
      </c>
      <c r="B63" s="24">
        <f t="shared" si="16"/>
        <v>3526100.8107811385</v>
      </c>
      <c r="C63" s="24">
        <f t="shared" si="17"/>
        <v>1578280.2193682883</v>
      </c>
      <c r="D63" s="24">
        <f t="shared" si="18"/>
        <v>-1703289.9301622238</v>
      </c>
      <c r="E63" s="24">
        <f t="shared" si="19"/>
        <v>-931.84755416951236</v>
      </c>
      <c r="F63" s="24">
        <f t="shared" si="20"/>
        <v>39331063.925859101</v>
      </c>
      <c r="G63" s="24"/>
      <c r="H63" s="20">
        <v>9</v>
      </c>
      <c r="I63" s="24">
        <f>NPV($B$33,B64:B$65)*(1+$B$33)</f>
        <v>3378252.8142254096</v>
      </c>
      <c r="J63" s="24">
        <f>NPV($B$33,D64:D$65)</f>
        <v>-42708360.072818898</v>
      </c>
      <c r="K63" s="24">
        <f>NPV($B$33,E64:E$65)</f>
        <v>-956.66726563114321</v>
      </c>
      <c r="L63" s="24">
        <f t="shared" si="21"/>
        <v>39331063.925859116</v>
      </c>
      <c r="M63" s="24"/>
      <c r="N63" s="24"/>
      <c r="R63" s="54">
        <f t="shared" si="15"/>
        <v>9</v>
      </c>
      <c r="S63" s="55">
        <f t="shared" si="14"/>
        <v>3378252.8142254096</v>
      </c>
      <c r="T63" s="55">
        <f t="shared" si="14"/>
        <v>-42708360.072818898</v>
      </c>
      <c r="U63" s="55">
        <f t="shared" si="14"/>
        <v>-956.66726563114321</v>
      </c>
      <c r="V63" s="55">
        <f t="shared" si="14"/>
        <v>39331063.925859116</v>
      </c>
    </row>
    <row r="64" spans="1:22" x14ac:dyDescent="0.25">
      <c r="A64" s="20">
        <v>10</v>
      </c>
      <c r="B64" s="24">
        <f t="shared" si="16"/>
        <v>3378252.8142254096</v>
      </c>
      <c r="C64" s="24">
        <f t="shared" si="17"/>
        <v>1708372.6696033806</v>
      </c>
      <c r="D64" s="24">
        <f t="shared" si="18"/>
        <v>-44416694.475731656</v>
      </c>
      <c r="E64" s="24">
        <f t="shared" si="19"/>
        <v>-994.93395625638902</v>
      </c>
      <c r="F64" s="24">
        <f t="shared" si="20"/>
        <v>0</v>
      </c>
      <c r="G64" s="24"/>
      <c r="H64" s="20">
        <v>10</v>
      </c>
      <c r="I64" s="24">
        <f>NPV($B$33,B65:B$65)*(1+$B$33)</f>
        <v>0</v>
      </c>
      <c r="J64" s="24">
        <f>NPV($B$33,D65:D$65)</f>
        <v>0</v>
      </c>
      <c r="K64" s="24">
        <f>NPV($B$33,E65:E$65)</f>
        <v>0</v>
      </c>
      <c r="L64" s="24">
        <f t="shared" si="21"/>
        <v>0</v>
      </c>
      <c r="M64" s="24"/>
      <c r="N64" s="24"/>
      <c r="R64" s="54">
        <f t="shared" si="15"/>
        <v>10</v>
      </c>
      <c r="S64" s="55">
        <f t="shared" si="14"/>
        <v>0</v>
      </c>
      <c r="T64" s="55">
        <f t="shared" si="14"/>
        <v>0</v>
      </c>
      <c r="U64" s="55">
        <f t="shared" si="14"/>
        <v>0</v>
      </c>
      <c r="V64" s="55">
        <f t="shared" si="14"/>
        <v>0</v>
      </c>
    </row>
    <row r="65" spans="1:26" x14ac:dyDescent="0.25">
      <c r="B65" s="28"/>
      <c r="C65" s="28"/>
      <c r="D65" s="28"/>
      <c r="E65" s="28"/>
      <c r="F65" s="28"/>
      <c r="G65" s="28"/>
      <c r="H65" s="28"/>
      <c r="I65" s="28"/>
      <c r="J65" s="28"/>
    </row>
    <row r="66" spans="1:26" x14ac:dyDescent="0.25">
      <c r="A66" s="3" t="s">
        <v>13</v>
      </c>
      <c r="B66" s="36"/>
    </row>
    <row r="67" spans="1:26" x14ac:dyDescent="0.25">
      <c r="A67" s="3"/>
    </row>
    <row r="68" spans="1:26" x14ac:dyDescent="0.25">
      <c r="A68" s="3"/>
      <c r="R68" s="70" t="s">
        <v>145</v>
      </c>
      <c r="S68" s="70"/>
      <c r="T68" s="70"/>
      <c r="U68" s="70"/>
      <c r="V68" s="70"/>
      <c r="X68" s="39"/>
      <c r="Y68" s="39"/>
      <c r="Z68" s="39"/>
    </row>
    <row r="69" spans="1:26" x14ac:dyDescent="0.25">
      <c r="A69" s="3"/>
      <c r="F69" s="20" t="s">
        <v>19</v>
      </c>
      <c r="R69" s="40"/>
      <c r="S69" s="39"/>
      <c r="T69" s="39" t="s">
        <v>25</v>
      </c>
      <c r="U69" s="40" t="s">
        <v>18</v>
      </c>
      <c r="V69" s="40" t="s">
        <v>0</v>
      </c>
      <c r="W69" s="40" t="s">
        <v>133</v>
      </c>
      <c r="X69" s="40" t="s">
        <v>137</v>
      </c>
      <c r="Y69" s="40" t="s">
        <v>19</v>
      </c>
      <c r="Z69" s="40" t="s">
        <v>13</v>
      </c>
    </row>
    <row r="70" spans="1:26" x14ac:dyDescent="0.25">
      <c r="B70" s="20"/>
      <c r="C70" s="20" t="s">
        <v>25</v>
      </c>
      <c r="D70" s="20" t="s">
        <v>18</v>
      </c>
      <c r="F70" s="20" t="s">
        <v>89</v>
      </c>
      <c r="G70" s="20" t="s">
        <v>19</v>
      </c>
      <c r="R70" s="56" t="s">
        <v>0</v>
      </c>
      <c r="S70" s="39" t="s">
        <v>25</v>
      </c>
      <c r="T70" s="39" t="s">
        <v>36</v>
      </c>
      <c r="U70" s="56" t="s">
        <v>25</v>
      </c>
      <c r="V70" s="56" t="s">
        <v>66</v>
      </c>
      <c r="W70" s="56" t="s">
        <v>134</v>
      </c>
      <c r="X70" s="56" t="s">
        <v>136</v>
      </c>
      <c r="Y70" s="56" t="s">
        <v>87</v>
      </c>
      <c r="Z70" s="56" t="s">
        <v>138</v>
      </c>
    </row>
    <row r="71" spans="1:26" x14ac:dyDescent="0.25">
      <c r="A71" s="20" t="s">
        <v>0</v>
      </c>
      <c r="B71" s="20" t="s">
        <v>25</v>
      </c>
      <c r="C71" s="20" t="s">
        <v>36</v>
      </c>
      <c r="D71" s="20" t="s">
        <v>25</v>
      </c>
      <c r="E71" s="20" t="s">
        <v>66</v>
      </c>
      <c r="F71" s="20" t="s">
        <v>88</v>
      </c>
      <c r="G71" s="20" t="s">
        <v>87</v>
      </c>
      <c r="H71" s="20"/>
      <c r="I71" s="20"/>
      <c r="J71" s="20"/>
      <c r="R71" s="56" t="s">
        <v>1</v>
      </c>
      <c r="S71" s="39" t="s">
        <v>6</v>
      </c>
      <c r="T71" s="39" t="s">
        <v>37</v>
      </c>
      <c r="U71" s="56" t="s">
        <v>37</v>
      </c>
      <c r="V71" s="56" t="s">
        <v>139</v>
      </c>
      <c r="W71" s="56" t="s">
        <v>135</v>
      </c>
      <c r="X71" s="56" t="s">
        <v>13</v>
      </c>
      <c r="Y71" s="56" t="s">
        <v>1</v>
      </c>
      <c r="Z71" s="56" t="s">
        <v>139</v>
      </c>
    </row>
    <row r="72" spans="1:26" x14ac:dyDescent="0.25">
      <c r="A72" s="2" t="s">
        <v>1</v>
      </c>
      <c r="B72" s="2" t="s">
        <v>6</v>
      </c>
      <c r="C72" s="2" t="s">
        <v>37</v>
      </c>
      <c r="D72" s="2" t="s">
        <v>37</v>
      </c>
      <c r="E72" s="2" t="s">
        <v>35</v>
      </c>
      <c r="F72" s="2" t="s">
        <v>90</v>
      </c>
      <c r="G72" s="2" t="s">
        <v>1</v>
      </c>
      <c r="H72" s="2"/>
      <c r="I72" s="2"/>
      <c r="J72" s="2"/>
      <c r="R72" s="45">
        <f>A73</f>
        <v>0</v>
      </c>
      <c r="S72" s="46">
        <f t="shared" ref="S72:V82" si="22">B73</f>
        <v>0</v>
      </c>
      <c r="T72" s="46">
        <f t="shared" si="22"/>
        <v>0</v>
      </c>
      <c r="U72" s="46">
        <f t="shared" si="22"/>
        <v>0</v>
      </c>
      <c r="V72" s="46">
        <f t="shared" si="22"/>
        <v>100000</v>
      </c>
      <c r="W72" s="57">
        <f>SUM(V72:$V$82)</f>
        <v>635691.25988412194</v>
      </c>
      <c r="X72" s="58">
        <f>F73</f>
        <v>0</v>
      </c>
      <c r="Y72" s="46">
        <f>G73</f>
        <v>0</v>
      </c>
      <c r="Z72" s="45">
        <f>H73</f>
        <v>0</v>
      </c>
    </row>
    <row r="73" spans="1:26" x14ac:dyDescent="0.25">
      <c r="E73" s="29">
        <f t="shared" ref="E73:E83" si="23">H14</f>
        <v>100000</v>
      </c>
      <c r="R73" s="45">
        <f t="shared" ref="R73:R82" si="24">A74</f>
        <v>1</v>
      </c>
      <c r="S73" s="46">
        <f t="shared" si="22"/>
        <v>6300000</v>
      </c>
      <c r="T73" s="46">
        <f t="shared" si="22"/>
        <v>100000</v>
      </c>
      <c r="U73" s="46">
        <f t="shared" si="22"/>
        <v>6400000</v>
      </c>
      <c r="V73" s="46">
        <f t="shared" si="22"/>
        <v>84946.45</v>
      </c>
      <c r="W73" s="57">
        <f>SUM(V73:$V$82)</f>
        <v>535691.25988412183</v>
      </c>
      <c r="X73" s="58">
        <f>V72/W72</f>
        <v>0.15730906858500568</v>
      </c>
      <c r="Y73" s="46">
        <f>X73*(Z72+U73)</f>
        <v>1006778.0389440364</v>
      </c>
      <c r="Z73" s="57">
        <f>Z72+U73-Y73</f>
        <v>5393221.9610559633</v>
      </c>
    </row>
    <row r="74" spans="1:26" x14ac:dyDescent="0.25">
      <c r="A74" s="13">
        <v>1</v>
      </c>
      <c r="B74" s="29">
        <f>Input!F18*'Actuarial balances'!E33</f>
        <v>6300000</v>
      </c>
      <c r="C74" s="29">
        <f>Input!H18*'Actuarial balances'!D14</f>
        <v>100000</v>
      </c>
      <c r="D74" s="29">
        <f>B74+C74</f>
        <v>6400000</v>
      </c>
      <c r="E74" s="29">
        <f t="shared" si="23"/>
        <v>84946.45</v>
      </c>
      <c r="F74" s="23">
        <f t="shared" ref="F74:F83" si="25">E73/E$85</f>
        <v>0.15730906858500568</v>
      </c>
      <c r="G74" s="29">
        <f t="shared" ref="G74:G83" si="26">D$74*F74</f>
        <v>1006778.0389440364</v>
      </c>
      <c r="R74" s="45">
        <f t="shared" si="24"/>
        <v>2</v>
      </c>
      <c r="S74" s="46">
        <f t="shared" si="22"/>
        <v>0</v>
      </c>
      <c r="T74" s="46">
        <f t="shared" si="22"/>
        <v>0</v>
      </c>
      <c r="U74" s="46">
        <f t="shared" si="22"/>
        <v>0</v>
      </c>
      <c r="V74" s="46">
        <f t="shared" si="22"/>
        <v>74695.316285480003</v>
      </c>
      <c r="W74" s="57">
        <f>SUM(V74:$V$82)</f>
        <v>450744.80988412187</v>
      </c>
      <c r="X74" s="58">
        <f t="shared" ref="X74:X82" si="27">V73/W73</f>
        <v>0.15857352240239128</v>
      </c>
      <c r="Y74" s="46">
        <f t="shared" ref="Y74:Y82" si="28">X74*(Z73+U74)</f>
        <v>855222.20346257649</v>
      </c>
      <c r="Z74" s="57">
        <f t="shared" ref="Z74:Z82" si="29">Z73+U74-Y74</f>
        <v>4537999.7575933868</v>
      </c>
    </row>
    <row r="75" spans="1:26" x14ac:dyDescent="0.25">
      <c r="A75" s="13">
        <v>2</v>
      </c>
      <c r="B75" s="29">
        <f>Input!F19*'Actuarial balances'!E34</f>
        <v>0</v>
      </c>
      <c r="C75" s="29">
        <v>0</v>
      </c>
      <c r="D75" s="29">
        <v>0</v>
      </c>
      <c r="E75" s="29">
        <f t="shared" si="23"/>
        <v>74695.316285480003</v>
      </c>
      <c r="F75" s="23">
        <f t="shared" si="25"/>
        <v>0.13362846929102754</v>
      </c>
      <c r="G75" s="29">
        <f t="shared" si="26"/>
        <v>855222.20346257626</v>
      </c>
      <c r="R75" s="45">
        <f t="shared" si="24"/>
        <v>3</v>
      </c>
      <c r="S75" s="46">
        <f t="shared" si="22"/>
        <v>0</v>
      </c>
      <c r="T75" s="46">
        <f t="shared" si="22"/>
        <v>0</v>
      </c>
      <c r="U75" s="46">
        <f t="shared" si="22"/>
        <v>0</v>
      </c>
      <c r="V75" s="46">
        <f t="shared" si="22"/>
        <v>67159.23113012164</v>
      </c>
      <c r="W75" s="57">
        <f>SUM(V75:$V$82)</f>
        <v>376049.49359864189</v>
      </c>
      <c r="X75" s="58">
        <f t="shared" si="27"/>
        <v>0.1657153108533469</v>
      </c>
      <c r="Y75" s="46">
        <f t="shared" si="28"/>
        <v>752016.04048200091</v>
      </c>
      <c r="Z75" s="57">
        <f t="shared" si="29"/>
        <v>3785983.7171113859</v>
      </c>
    </row>
    <row r="76" spans="1:26" x14ac:dyDescent="0.25">
      <c r="A76" s="13">
        <v>3</v>
      </c>
      <c r="B76" s="29">
        <f>Input!F20*'Actuarial balances'!E35</f>
        <v>0</v>
      </c>
      <c r="C76" s="29">
        <v>0</v>
      </c>
      <c r="D76" s="29">
        <v>0</v>
      </c>
      <c r="E76" s="29">
        <f t="shared" si="23"/>
        <v>67159.23113012164</v>
      </c>
      <c r="F76" s="23">
        <f t="shared" si="25"/>
        <v>0.11750250632531264</v>
      </c>
      <c r="G76" s="29">
        <f t="shared" si="26"/>
        <v>752016.04048200091</v>
      </c>
      <c r="R76" s="45">
        <f t="shared" si="24"/>
        <v>4</v>
      </c>
      <c r="S76" s="46">
        <f t="shared" si="22"/>
        <v>0</v>
      </c>
      <c r="T76" s="46">
        <f t="shared" si="22"/>
        <v>0</v>
      </c>
      <c r="U76" s="46">
        <f t="shared" si="22"/>
        <v>0</v>
      </c>
      <c r="V76" s="46">
        <f t="shared" si="22"/>
        <v>61045.229342036298</v>
      </c>
      <c r="W76" s="57">
        <f>SUM(V76:$V$82)</f>
        <v>308890.26246852026</v>
      </c>
      <c r="X76" s="58">
        <f t="shared" si="27"/>
        <v>0.17859146807361687</v>
      </c>
      <c r="Y76" s="46">
        <f t="shared" si="28"/>
        <v>676144.39014173136</v>
      </c>
      <c r="Z76" s="57">
        <f t="shared" si="29"/>
        <v>3109839.3269696543</v>
      </c>
    </row>
    <row r="77" spans="1:26" x14ac:dyDescent="0.25">
      <c r="A77" s="13">
        <v>4</v>
      </c>
      <c r="B77" s="29">
        <f>Input!F21*'Actuarial balances'!E36</f>
        <v>0</v>
      </c>
      <c r="C77" s="29">
        <v>0</v>
      </c>
      <c r="D77" s="29">
        <v>0</v>
      </c>
      <c r="E77" s="29">
        <f t="shared" si="23"/>
        <v>61045.229342036298</v>
      </c>
      <c r="F77" s="23">
        <f t="shared" si="25"/>
        <v>0.10564756095964553</v>
      </c>
      <c r="G77" s="29">
        <f t="shared" si="26"/>
        <v>676144.39014173136</v>
      </c>
      <c r="R77" s="45">
        <f t="shared" si="24"/>
        <v>5</v>
      </c>
      <c r="S77" s="46">
        <f t="shared" si="22"/>
        <v>0</v>
      </c>
      <c r="T77" s="46">
        <f t="shared" si="22"/>
        <v>0</v>
      </c>
      <c r="U77" s="46">
        <f t="shared" si="22"/>
        <v>0</v>
      </c>
      <c r="V77" s="46">
        <f t="shared" si="22"/>
        <v>56089.724132600219</v>
      </c>
      <c r="W77" s="57">
        <f>SUM(V77:$V$82)</f>
        <v>247845.03312648393</v>
      </c>
      <c r="X77" s="58">
        <f t="shared" si="27"/>
        <v>0.19762756149769389</v>
      </c>
      <c r="Y77" s="46">
        <f t="shared" si="28"/>
        <v>614589.9628386423</v>
      </c>
      <c r="Z77" s="57">
        <f t="shared" si="29"/>
        <v>2495249.364131012</v>
      </c>
    </row>
    <row r="78" spans="1:26" x14ac:dyDescent="0.25">
      <c r="A78" s="13">
        <v>5</v>
      </c>
      <c r="B78" s="29">
        <f>Input!F22*'Actuarial balances'!E37</f>
        <v>0</v>
      </c>
      <c r="C78" s="29">
        <v>0</v>
      </c>
      <c r="D78" s="29">
        <v>0</v>
      </c>
      <c r="E78" s="29">
        <f t="shared" si="23"/>
        <v>56089.724132600219</v>
      </c>
      <c r="F78" s="23">
        <f t="shared" si="25"/>
        <v>9.6029681693537886E-2</v>
      </c>
      <c r="G78" s="29">
        <f t="shared" si="26"/>
        <v>614589.96283864242</v>
      </c>
      <c r="R78" s="45">
        <f t="shared" si="24"/>
        <v>6</v>
      </c>
      <c r="S78" s="46">
        <f t="shared" si="22"/>
        <v>0</v>
      </c>
      <c r="T78" s="46">
        <f t="shared" si="22"/>
        <v>0</v>
      </c>
      <c r="U78" s="46">
        <f t="shared" si="22"/>
        <v>0</v>
      </c>
      <c r="V78" s="46">
        <f t="shared" si="22"/>
        <v>52090.414622497556</v>
      </c>
      <c r="W78" s="57">
        <f>SUM(V78:$V$82)</f>
        <v>191755.30899388369</v>
      </c>
      <c r="X78" s="58">
        <f t="shared" si="27"/>
        <v>0.22630965577581569</v>
      </c>
      <c r="Y78" s="46">
        <f t="shared" si="28"/>
        <v>564699.02467131231</v>
      </c>
      <c r="Z78" s="57">
        <f t="shared" si="29"/>
        <v>1930550.3394596996</v>
      </c>
    </row>
    <row r="79" spans="1:26" x14ac:dyDescent="0.25">
      <c r="A79" s="13">
        <v>6</v>
      </c>
      <c r="B79" s="29">
        <f>Input!F23*'Actuarial balances'!E38</f>
        <v>0</v>
      </c>
      <c r="C79" s="29">
        <v>0</v>
      </c>
      <c r="D79" s="29">
        <v>0</v>
      </c>
      <c r="E79" s="29">
        <f t="shared" si="23"/>
        <v>52090.414622497556</v>
      </c>
      <c r="F79" s="23">
        <f t="shared" si="25"/>
        <v>8.8234222604892554E-2</v>
      </c>
      <c r="G79" s="29">
        <f t="shared" si="26"/>
        <v>564699.02467131231</v>
      </c>
      <c r="R79" s="45">
        <f t="shared" si="24"/>
        <v>7</v>
      </c>
      <c r="S79" s="46">
        <f t="shared" si="22"/>
        <v>0</v>
      </c>
      <c r="T79" s="46">
        <f t="shared" si="22"/>
        <v>0</v>
      </c>
      <c r="U79" s="46">
        <f t="shared" si="22"/>
        <v>0</v>
      </c>
      <c r="V79" s="46">
        <f t="shared" si="22"/>
        <v>48887.625061350373</v>
      </c>
      <c r="W79" s="57">
        <f>SUM(V79:$V$82)</f>
        <v>139664.89437138615</v>
      </c>
      <c r="X79" s="58">
        <f t="shared" si="27"/>
        <v>0.27165044293067814</v>
      </c>
      <c r="Y79" s="46">
        <f t="shared" si="28"/>
        <v>524434.85481419845</v>
      </c>
      <c r="Z79" s="57">
        <f t="shared" si="29"/>
        <v>1406115.4846455012</v>
      </c>
    </row>
    <row r="80" spans="1:26" x14ac:dyDescent="0.25">
      <c r="A80" s="13">
        <v>7</v>
      </c>
      <c r="B80" s="29">
        <f>Input!F24*'Actuarial balances'!E39</f>
        <v>0</v>
      </c>
      <c r="C80" s="29">
        <v>0</v>
      </c>
      <c r="D80" s="29">
        <v>0</v>
      </c>
      <c r="E80" s="29">
        <f t="shared" si="23"/>
        <v>48887.625061350373</v>
      </c>
      <c r="F80" s="23">
        <f t="shared" si="25"/>
        <v>8.1942946064718497E-2</v>
      </c>
      <c r="G80" s="29">
        <f t="shared" si="26"/>
        <v>524434.85481419833</v>
      </c>
      <c r="R80" s="45">
        <f t="shared" si="24"/>
        <v>8</v>
      </c>
      <c r="S80" s="46">
        <f t="shared" si="22"/>
        <v>0</v>
      </c>
      <c r="T80" s="46">
        <f t="shared" si="22"/>
        <v>0</v>
      </c>
      <c r="U80" s="46">
        <f t="shared" si="22"/>
        <v>0</v>
      </c>
      <c r="V80" s="46">
        <f t="shared" si="22"/>
        <v>46360.574834304112</v>
      </c>
      <c r="W80" s="57">
        <f>SUM(V80:$V$82)</f>
        <v>90777.269310035786</v>
      </c>
      <c r="X80" s="58">
        <f t="shared" si="27"/>
        <v>0.35003517012193597</v>
      </c>
      <c r="Y80" s="46">
        <f t="shared" si="28"/>
        <v>492189.87287897646</v>
      </c>
      <c r="Z80" s="57">
        <f t="shared" si="29"/>
        <v>913925.61176652485</v>
      </c>
    </row>
    <row r="81" spans="1:26" x14ac:dyDescent="0.25">
      <c r="A81" s="13">
        <v>8</v>
      </c>
      <c r="B81" s="29">
        <f>Input!F25*'Actuarial balances'!E40</f>
        <v>0</v>
      </c>
      <c r="C81" s="29">
        <v>0</v>
      </c>
      <c r="D81" s="29">
        <v>0</v>
      </c>
      <c r="E81" s="29">
        <f t="shared" si="23"/>
        <v>46360.574834304112</v>
      </c>
      <c r="F81" s="23">
        <f t="shared" si="25"/>
        <v>7.6904667637340079E-2</v>
      </c>
      <c r="G81" s="29">
        <f t="shared" si="26"/>
        <v>492189.87287897652</v>
      </c>
      <c r="R81" s="45">
        <f t="shared" si="24"/>
        <v>9</v>
      </c>
      <c r="S81" s="46">
        <f t="shared" si="22"/>
        <v>0</v>
      </c>
      <c r="T81" s="46">
        <f t="shared" si="22"/>
        <v>0</v>
      </c>
      <c r="U81" s="46">
        <f t="shared" si="22"/>
        <v>0</v>
      </c>
      <c r="V81" s="46">
        <f t="shared" si="22"/>
        <v>44416.694475731674</v>
      </c>
      <c r="W81" s="57">
        <f>SUM(V81:$V$82)</f>
        <v>44416.694475731674</v>
      </c>
      <c r="X81" s="58">
        <f t="shared" si="27"/>
        <v>0.51070686733224713</v>
      </c>
      <c r="Y81" s="46">
        <f t="shared" si="28"/>
        <v>466748.08615998941</v>
      </c>
      <c r="Z81" s="57">
        <f t="shared" si="29"/>
        <v>447177.52560653543</v>
      </c>
    </row>
    <row r="82" spans="1:26" x14ac:dyDescent="0.25">
      <c r="A82" s="13">
        <v>9</v>
      </c>
      <c r="B82" s="29">
        <f>Input!F26*'Actuarial balances'!E41</f>
        <v>0</v>
      </c>
      <c r="C82" s="29">
        <v>0</v>
      </c>
      <c r="D82" s="29">
        <v>0</v>
      </c>
      <c r="E82" s="29">
        <f t="shared" si="23"/>
        <v>44416.694475731674</v>
      </c>
      <c r="F82" s="23">
        <f t="shared" si="25"/>
        <v>7.2929388462498329E-2</v>
      </c>
      <c r="G82" s="29">
        <f t="shared" si="26"/>
        <v>466748.0861599893</v>
      </c>
      <c r="R82" s="45">
        <f t="shared" si="24"/>
        <v>10</v>
      </c>
      <c r="S82" s="46">
        <f t="shared" si="22"/>
        <v>0</v>
      </c>
      <c r="T82" s="46">
        <f t="shared" si="22"/>
        <v>0</v>
      </c>
      <c r="U82" s="46">
        <f t="shared" si="22"/>
        <v>0</v>
      </c>
      <c r="V82" s="46">
        <f t="shared" si="22"/>
        <v>0</v>
      </c>
      <c r="W82" s="57">
        <f>SUM(V82:$V$82)</f>
        <v>0</v>
      </c>
      <c r="X82" s="58">
        <f t="shared" si="27"/>
        <v>1</v>
      </c>
      <c r="Y82" s="46">
        <f t="shared" si="28"/>
        <v>447177.52560653543</v>
      </c>
      <c r="Z82" s="57">
        <f t="shared" si="29"/>
        <v>0</v>
      </c>
    </row>
    <row r="83" spans="1:26" x14ac:dyDescent="0.25">
      <c r="A83" s="13">
        <v>10</v>
      </c>
      <c r="B83" s="29">
        <f>Input!F27*'Actuarial balances'!E42</f>
        <v>0</v>
      </c>
      <c r="C83" s="29">
        <v>0</v>
      </c>
      <c r="D83" s="29">
        <v>0</v>
      </c>
      <c r="E83" s="29">
        <f t="shared" si="23"/>
        <v>0</v>
      </c>
      <c r="F83" s="23">
        <f t="shared" si="25"/>
        <v>6.9871488376021168E-2</v>
      </c>
      <c r="G83" s="29">
        <f t="shared" si="26"/>
        <v>447177.52560653549</v>
      </c>
      <c r="R83" s="20"/>
    </row>
    <row r="84" spans="1:26" x14ac:dyDescent="0.25">
      <c r="B84" s="29"/>
      <c r="C84" s="29"/>
      <c r="D84" s="29"/>
      <c r="E84" s="29"/>
    </row>
    <row r="85" spans="1:26" x14ac:dyDescent="0.25">
      <c r="A85" s="20" t="s">
        <v>86</v>
      </c>
      <c r="B85" s="29"/>
      <c r="C85" s="29"/>
      <c r="D85" s="29"/>
      <c r="E85" s="29">
        <f>SUM(E73:E84)</f>
        <v>635691.25988412194</v>
      </c>
      <c r="G85" s="29"/>
    </row>
    <row r="86" spans="1:26" x14ac:dyDescent="0.25">
      <c r="B86" s="29"/>
      <c r="C86" s="29"/>
      <c r="D86" s="29"/>
      <c r="E86" s="34"/>
    </row>
    <row r="87" spans="1:26" x14ac:dyDescent="0.25">
      <c r="A87" s="3" t="s">
        <v>38</v>
      </c>
    </row>
    <row r="88" spans="1:26" x14ac:dyDescent="0.25">
      <c r="A88" s="3"/>
    </row>
    <row r="89" spans="1:26" x14ac:dyDescent="0.25">
      <c r="B89" s="20"/>
      <c r="C89" s="20"/>
      <c r="D89" s="20" t="s">
        <v>13</v>
      </c>
    </row>
    <row r="90" spans="1:26" x14ac:dyDescent="0.25">
      <c r="B90" s="2" t="s">
        <v>39</v>
      </c>
      <c r="C90" s="2" t="s">
        <v>19</v>
      </c>
      <c r="D90" s="2" t="s">
        <v>35</v>
      </c>
    </row>
    <row r="91" spans="1:26" x14ac:dyDescent="0.25">
      <c r="D91" s="29">
        <v>0</v>
      </c>
    </row>
    <row r="92" spans="1:26" x14ac:dyDescent="0.25">
      <c r="A92" s="13">
        <v>1</v>
      </c>
      <c r="B92" s="29">
        <f t="shared" ref="B92:B101" si="30">D74</f>
        <v>6400000</v>
      </c>
      <c r="C92" s="29">
        <f t="shared" ref="C92:C101" si="31">-G74</f>
        <v>-1006778.0389440364</v>
      </c>
      <c r="D92" s="29">
        <f>D91+B92+C92</f>
        <v>5393221.9610559633</v>
      </c>
    </row>
    <row r="93" spans="1:26" x14ac:dyDescent="0.25">
      <c r="A93" s="13">
        <v>2</v>
      </c>
      <c r="B93" s="29">
        <f t="shared" si="30"/>
        <v>0</v>
      </c>
      <c r="C93" s="29">
        <f t="shared" si="31"/>
        <v>-855222.20346257626</v>
      </c>
      <c r="D93" s="29">
        <f t="shared" ref="D93:D101" si="32">D92+B93+C93</f>
        <v>4537999.7575933868</v>
      </c>
    </row>
    <row r="94" spans="1:26" x14ac:dyDescent="0.25">
      <c r="A94" s="13">
        <v>3</v>
      </c>
      <c r="B94" s="29">
        <f t="shared" si="30"/>
        <v>0</v>
      </c>
      <c r="C94" s="29">
        <f t="shared" si="31"/>
        <v>-752016.04048200091</v>
      </c>
      <c r="D94" s="29">
        <f t="shared" si="32"/>
        <v>3785983.7171113859</v>
      </c>
    </row>
    <row r="95" spans="1:26" x14ac:dyDescent="0.25">
      <c r="A95" s="13">
        <v>4</v>
      </c>
      <c r="B95" s="29">
        <f t="shared" si="30"/>
        <v>0</v>
      </c>
      <c r="C95" s="29">
        <f t="shared" si="31"/>
        <v>-676144.39014173136</v>
      </c>
      <c r="D95" s="29">
        <f t="shared" si="32"/>
        <v>3109839.3269696543</v>
      </c>
    </row>
    <row r="96" spans="1:26" x14ac:dyDescent="0.25">
      <c r="A96" s="13">
        <v>5</v>
      </c>
      <c r="B96" s="29">
        <f t="shared" si="30"/>
        <v>0</v>
      </c>
      <c r="C96" s="29">
        <f t="shared" si="31"/>
        <v>-614589.96283864242</v>
      </c>
      <c r="D96" s="29">
        <f t="shared" si="32"/>
        <v>2495249.364131012</v>
      </c>
    </row>
    <row r="97" spans="1:10" x14ac:dyDescent="0.25">
      <c r="A97" s="13">
        <v>6</v>
      </c>
      <c r="B97" s="29">
        <f t="shared" si="30"/>
        <v>0</v>
      </c>
      <c r="C97" s="29">
        <f t="shared" si="31"/>
        <v>-564699.02467131231</v>
      </c>
      <c r="D97" s="29">
        <f t="shared" si="32"/>
        <v>1930550.3394596996</v>
      </c>
    </row>
    <row r="98" spans="1:10" x14ac:dyDescent="0.25">
      <c r="A98" s="13">
        <v>7</v>
      </c>
      <c r="B98" s="29">
        <f t="shared" si="30"/>
        <v>0</v>
      </c>
      <c r="C98" s="29">
        <f t="shared" si="31"/>
        <v>-524434.85481419833</v>
      </c>
      <c r="D98" s="29">
        <f t="shared" si="32"/>
        <v>1406115.4846455012</v>
      </c>
    </row>
    <row r="99" spans="1:10" x14ac:dyDescent="0.25">
      <c r="A99" s="13">
        <v>8</v>
      </c>
      <c r="B99" s="29">
        <f t="shared" si="30"/>
        <v>0</v>
      </c>
      <c r="C99" s="29">
        <f t="shared" si="31"/>
        <v>-492189.87287897652</v>
      </c>
      <c r="D99" s="29">
        <f t="shared" si="32"/>
        <v>913925.61176652473</v>
      </c>
    </row>
    <row r="100" spans="1:10" x14ac:dyDescent="0.25">
      <c r="A100" s="13">
        <v>9</v>
      </c>
      <c r="B100" s="29">
        <f t="shared" si="30"/>
        <v>0</v>
      </c>
      <c r="C100" s="29">
        <f t="shared" si="31"/>
        <v>-466748.0861599893</v>
      </c>
      <c r="D100" s="29">
        <f t="shared" si="32"/>
        <v>447177.52560653543</v>
      </c>
    </row>
    <row r="101" spans="1:10" x14ac:dyDescent="0.25">
      <c r="A101" s="13">
        <v>10</v>
      </c>
      <c r="B101" s="29">
        <f t="shared" si="30"/>
        <v>0</v>
      </c>
      <c r="C101" s="29">
        <f t="shared" si="31"/>
        <v>-447177.52560653549</v>
      </c>
      <c r="D101" s="29">
        <f t="shared" si="32"/>
        <v>0</v>
      </c>
    </row>
    <row r="102" spans="1:10" x14ac:dyDescent="0.25">
      <c r="B102" s="29"/>
      <c r="C102" s="29"/>
      <c r="D102" s="29"/>
    </row>
    <row r="103" spans="1:10" x14ac:dyDescent="0.25">
      <c r="A103" s="4" t="s">
        <v>85</v>
      </c>
      <c r="B103" s="1"/>
      <c r="C103" s="1"/>
      <c r="D103" s="1"/>
    </row>
    <row r="105" spans="1:10" x14ac:dyDescent="0.25">
      <c r="A105" s="3" t="s">
        <v>34</v>
      </c>
      <c r="B105" s="3"/>
      <c r="C105" s="3"/>
      <c r="D105" s="3"/>
    </row>
    <row r="107" spans="1:10" x14ac:dyDescent="0.25">
      <c r="A107" s="20" t="s">
        <v>0</v>
      </c>
      <c r="B107" s="20" t="s">
        <v>74</v>
      </c>
      <c r="C107" s="20" t="s">
        <v>74</v>
      </c>
      <c r="D107" s="20" t="s">
        <v>31</v>
      </c>
      <c r="F107" s="20" t="s">
        <v>75</v>
      </c>
      <c r="G107" s="20" t="s">
        <v>75</v>
      </c>
      <c r="H107" s="20" t="s">
        <v>66</v>
      </c>
      <c r="I107" s="20"/>
      <c r="J107" s="20"/>
    </row>
    <row r="108" spans="1:10" x14ac:dyDescent="0.25">
      <c r="A108" s="2" t="s">
        <v>1</v>
      </c>
      <c r="B108" s="2" t="s">
        <v>32</v>
      </c>
      <c r="C108" s="2" t="s">
        <v>33</v>
      </c>
      <c r="D108" s="2" t="s">
        <v>35</v>
      </c>
      <c r="F108" s="2" t="s">
        <v>32</v>
      </c>
      <c r="G108" s="2" t="s">
        <v>33</v>
      </c>
      <c r="H108" s="2" t="s">
        <v>35</v>
      </c>
      <c r="I108" s="2"/>
      <c r="J108" s="2"/>
    </row>
    <row r="109" spans="1:10" x14ac:dyDescent="0.25">
      <c r="D109" s="28">
        <f>Input!B31</f>
        <v>1000</v>
      </c>
      <c r="H109" s="29">
        <f>D109*Input!B$32</f>
        <v>100000</v>
      </c>
      <c r="I109" s="29"/>
      <c r="J109" s="29"/>
    </row>
    <row r="110" spans="1:10" x14ac:dyDescent="0.25">
      <c r="A110" s="13">
        <v>1</v>
      </c>
      <c r="B110" s="22">
        <f>Input!L39*'Actuarial balances'!D109</f>
        <v>0.63</v>
      </c>
      <c r="C110" s="28">
        <f>Input!M39*('Actuarial balances'!D109-'Actuarial balances'!B110)</f>
        <v>149.90549999999999</v>
      </c>
      <c r="D110" s="28">
        <f t="shared" ref="D110:D119" si="33">D109-B110-C110</f>
        <v>849.46450000000004</v>
      </c>
      <c r="E110" s="37"/>
      <c r="F110" s="29">
        <f>H$109/D$109*B110</f>
        <v>63</v>
      </c>
      <c r="G110" s="29">
        <f>H$109/D$109*C110</f>
        <v>14990.55</v>
      </c>
      <c r="H110" s="29">
        <f t="shared" ref="H110:H119" si="34">H109-F110-G110</f>
        <v>84946.45</v>
      </c>
      <c r="I110" s="29"/>
      <c r="J110" s="29"/>
    </row>
    <row r="111" spans="1:10" x14ac:dyDescent="0.25">
      <c r="A111" s="13">
        <v>2</v>
      </c>
      <c r="B111" s="22">
        <f>Input!L40*'Actuarial balances'!D110</f>
        <v>0.65408766500000004</v>
      </c>
      <c r="C111" s="28">
        <f>Input!M40*('Actuarial balances'!D110-'Actuarial balances'!B111)</f>
        <v>101.8572494802</v>
      </c>
      <c r="D111" s="28">
        <f t="shared" si="33"/>
        <v>746.95316285479998</v>
      </c>
      <c r="E111" s="37"/>
      <c r="F111" s="29">
        <f t="shared" ref="F111:F119" si="35">H$109/D$109*B111</f>
        <v>65.408766499999999</v>
      </c>
      <c r="G111" s="29">
        <f t="shared" ref="G111:G119" si="36">H$109/D$109*C111</f>
        <v>10185.724948019999</v>
      </c>
      <c r="H111" s="29">
        <f t="shared" si="34"/>
        <v>74695.316285480003</v>
      </c>
      <c r="I111" s="29"/>
      <c r="J111" s="29"/>
    </row>
    <row r="112" spans="1:10" x14ac:dyDescent="0.25">
      <c r="A112" s="13">
        <v>3</v>
      </c>
      <c r="B112" s="22">
        <f>Input!L41*'Actuarial balances'!D111</f>
        <v>0.73948363122625194</v>
      </c>
      <c r="C112" s="28">
        <f>Input!M41*('Actuarial balances'!D111-'Actuarial balances'!B112)</f>
        <v>74.621367922357379</v>
      </c>
      <c r="D112" s="28">
        <f t="shared" si="33"/>
        <v>671.59231130121634</v>
      </c>
      <c r="E112" s="37"/>
      <c r="F112" s="29">
        <f t="shared" si="35"/>
        <v>73.948363122625196</v>
      </c>
      <c r="G112" s="29">
        <f t="shared" si="36"/>
        <v>7462.1367922357376</v>
      </c>
      <c r="H112" s="29">
        <f t="shared" si="34"/>
        <v>67159.23113012164</v>
      </c>
      <c r="I112" s="29"/>
      <c r="J112" s="29"/>
    </row>
    <row r="113" spans="1:31" x14ac:dyDescent="0.25">
      <c r="A113" s="13">
        <v>4</v>
      </c>
      <c r="B113" s="22">
        <f>Input!L42*'Actuarial balances'!D112</f>
        <v>0.76561523488338656</v>
      </c>
      <c r="C113" s="28">
        <f>Input!M42*('Actuarial balances'!D112-'Actuarial balances'!B113)</f>
        <v>60.374402645969965</v>
      </c>
      <c r="D113" s="28">
        <f t="shared" si="33"/>
        <v>610.45229342036293</v>
      </c>
      <c r="E113" s="37"/>
      <c r="F113" s="29">
        <f t="shared" si="35"/>
        <v>76.561523488338651</v>
      </c>
      <c r="G113" s="29">
        <f t="shared" si="36"/>
        <v>6037.4402645969967</v>
      </c>
      <c r="H113" s="29">
        <f t="shared" si="34"/>
        <v>61045.229342036298</v>
      </c>
      <c r="I113" s="29"/>
      <c r="J113" s="29"/>
    </row>
    <row r="114" spans="1:31" x14ac:dyDescent="0.25">
      <c r="A114" s="13">
        <v>5</v>
      </c>
      <c r="B114" s="22">
        <f>Input!L43*'Actuarial balances'!D113</f>
        <v>0.97672366947258071</v>
      </c>
      <c r="C114" s="28">
        <f>Input!M43*('Actuarial balances'!D113-'Actuarial balances'!B114)</f>
        <v>48.758045580071233</v>
      </c>
      <c r="D114" s="28">
        <f t="shared" si="33"/>
        <v>560.71752417081916</v>
      </c>
      <c r="E114" s="37"/>
      <c r="F114" s="29">
        <f t="shared" si="35"/>
        <v>97.67236694725807</v>
      </c>
      <c r="G114" s="29">
        <f t="shared" si="36"/>
        <v>4875.804558007123</v>
      </c>
      <c r="H114" s="29">
        <f t="shared" si="34"/>
        <v>56071.752417081923</v>
      </c>
      <c r="I114" s="29"/>
      <c r="J114" s="29"/>
    </row>
    <row r="115" spans="1:31" x14ac:dyDescent="0.25">
      <c r="A115" s="13">
        <v>6</v>
      </c>
      <c r="B115" s="22">
        <f>Input!L44*'Actuarial balances'!D114</f>
        <v>0.78500453383914681</v>
      </c>
      <c r="C115" s="28">
        <f>Input!M44*('Actuarial balances'!D114-'Actuarial balances'!B115)</f>
        <v>39.195276374588609</v>
      </c>
      <c r="D115" s="28">
        <f t="shared" si="33"/>
        <v>520.73724326239142</v>
      </c>
      <c r="E115" s="37"/>
      <c r="F115" s="29">
        <f t="shared" si="35"/>
        <v>78.500453383914675</v>
      </c>
      <c r="G115" s="29">
        <f t="shared" si="36"/>
        <v>3919.5276374588607</v>
      </c>
      <c r="H115" s="29">
        <f t="shared" si="34"/>
        <v>52073.724326239149</v>
      </c>
      <c r="I115" s="29"/>
      <c r="J115" s="29"/>
    </row>
    <row r="116" spans="1:31" x14ac:dyDescent="0.25">
      <c r="A116" s="13">
        <v>7</v>
      </c>
      <c r="B116" s="22">
        <f>Input!L45*'Actuarial balances'!D115</f>
        <v>0.82276484435457842</v>
      </c>
      <c r="C116" s="28">
        <f>Input!M45*('Actuarial balances'!D115-'Actuarial balances'!B116)</f>
        <v>31.194868705082211</v>
      </c>
      <c r="D116" s="28">
        <f t="shared" si="33"/>
        <v>488.71960971295465</v>
      </c>
      <c r="E116" s="37"/>
      <c r="F116" s="29">
        <f t="shared" si="35"/>
        <v>82.276484435457846</v>
      </c>
      <c r="G116" s="29">
        <f t="shared" si="36"/>
        <v>3119.4868705082213</v>
      </c>
      <c r="H116" s="29">
        <f t="shared" si="34"/>
        <v>48871.96097129547</v>
      </c>
      <c r="I116" s="29"/>
      <c r="J116" s="29"/>
    </row>
    <row r="117" spans="1:31" x14ac:dyDescent="0.25">
      <c r="A117" s="13">
        <v>8</v>
      </c>
      <c r="B117" s="22">
        <f>Input!L46*'Actuarial balances'!D116</f>
        <v>0.86992090528905919</v>
      </c>
      <c r="C117" s="28">
        <f>Input!M46*('Actuarial balances'!D116-'Actuarial balances'!B117)</f>
        <v>24.392484440383281</v>
      </c>
      <c r="D117" s="28">
        <f t="shared" si="33"/>
        <v>463.45720436728232</v>
      </c>
      <c r="E117" s="37"/>
      <c r="F117" s="29">
        <f t="shared" si="35"/>
        <v>86.992090528905919</v>
      </c>
      <c r="G117" s="29">
        <f t="shared" si="36"/>
        <v>2439.2484440383282</v>
      </c>
      <c r="H117" s="29">
        <f t="shared" si="34"/>
        <v>46345.720436728239</v>
      </c>
      <c r="I117" s="29"/>
      <c r="J117" s="29"/>
    </row>
    <row r="118" spans="1:31" x14ac:dyDescent="0.25">
      <c r="A118" s="13">
        <v>9</v>
      </c>
      <c r="B118" s="22">
        <f>Input!L47*'Actuarial balances'!D117</f>
        <v>0.93154898077823745</v>
      </c>
      <c r="C118" s="28">
        <f>Input!M47*('Actuarial balances'!D117-'Actuarial balances'!B118)</f>
        <v>18.501026215460165</v>
      </c>
      <c r="D118" s="28">
        <f t="shared" si="33"/>
        <v>444.0246291710439</v>
      </c>
      <c r="E118" s="37"/>
      <c r="F118" s="29">
        <f t="shared" si="35"/>
        <v>93.154898077823745</v>
      </c>
      <c r="G118" s="29">
        <f t="shared" si="36"/>
        <v>1850.1026215460165</v>
      </c>
      <c r="H118" s="29">
        <f t="shared" si="34"/>
        <v>44402.4629171044</v>
      </c>
      <c r="I118" s="29"/>
      <c r="J118" s="29"/>
    </row>
    <row r="119" spans="1:31" x14ac:dyDescent="0.25">
      <c r="A119" s="13">
        <v>10</v>
      </c>
      <c r="B119" s="22">
        <f>Input!L48*'Actuarial balances'!D118</f>
        <v>0.99461516934313821</v>
      </c>
      <c r="C119" s="28">
        <f>Input!M48*('Actuarial balances'!D118-'Actuarial balances'!B119)</f>
        <v>443.03001400170075</v>
      </c>
      <c r="D119" s="28">
        <f t="shared" si="33"/>
        <v>0</v>
      </c>
      <c r="E119" s="37"/>
      <c r="F119" s="29">
        <f t="shared" si="35"/>
        <v>99.461516934313821</v>
      </c>
      <c r="G119" s="29">
        <f t="shared" si="36"/>
        <v>44303.001400170077</v>
      </c>
      <c r="H119" s="29">
        <f t="shared" si="34"/>
        <v>0</v>
      </c>
      <c r="I119" s="29"/>
      <c r="J119" s="29"/>
    </row>
    <row r="120" spans="1:31" x14ac:dyDescent="0.25">
      <c r="B120" s="28"/>
      <c r="C120" s="28"/>
      <c r="D120" s="28"/>
      <c r="E120" s="28"/>
      <c r="F120" s="28"/>
      <c r="G120" s="28"/>
      <c r="H120" s="28"/>
      <c r="I120" s="28"/>
      <c r="J120" s="28"/>
    </row>
    <row r="121" spans="1:31" x14ac:dyDescent="0.25">
      <c r="A121" s="3" t="s">
        <v>67</v>
      </c>
    </row>
    <row r="123" spans="1:31" x14ac:dyDescent="0.25">
      <c r="B123" s="31"/>
    </row>
    <row r="124" spans="1:31" x14ac:dyDescent="0.25">
      <c r="C124" s="20" t="s">
        <v>71</v>
      </c>
      <c r="D124" s="20" t="s">
        <v>72</v>
      </c>
      <c r="G124" s="20"/>
      <c r="H124" s="20" t="s">
        <v>73</v>
      </c>
      <c r="I124" s="20"/>
      <c r="J124" s="20" t="s">
        <v>99</v>
      </c>
      <c r="R124" s="70" t="s">
        <v>146</v>
      </c>
      <c r="S124" s="70"/>
      <c r="T124" s="70"/>
      <c r="U124" s="70"/>
      <c r="V124" s="70"/>
      <c r="W124" s="70"/>
      <c r="X124" s="70"/>
      <c r="Y124" s="70"/>
      <c r="Z124" s="70"/>
      <c r="AA124" s="70"/>
      <c r="AB124" s="70"/>
      <c r="AC124" s="70"/>
      <c r="AD124" s="70"/>
      <c r="AE124" s="70"/>
    </row>
    <row r="125" spans="1:31" x14ac:dyDescent="0.25">
      <c r="A125" s="20" t="s">
        <v>0</v>
      </c>
      <c r="B125" s="20" t="s">
        <v>62</v>
      </c>
      <c r="C125" s="20" t="s">
        <v>61</v>
      </c>
      <c r="D125" s="20" t="s">
        <v>61</v>
      </c>
      <c r="F125" s="20"/>
      <c r="G125" s="20" t="s">
        <v>9</v>
      </c>
      <c r="H125" s="20" t="s">
        <v>9</v>
      </c>
      <c r="I125" s="20" t="s">
        <v>98</v>
      </c>
      <c r="J125" s="20" t="s">
        <v>98</v>
      </c>
      <c r="K125" s="20" t="s">
        <v>43</v>
      </c>
      <c r="L125" s="20" t="s">
        <v>11</v>
      </c>
      <c r="M125" s="20" t="s">
        <v>18</v>
      </c>
      <c r="N125" s="20" t="s">
        <v>76</v>
      </c>
      <c r="R125" s="40" t="s">
        <v>0</v>
      </c>
      <c r="S125" s="40" t="s">
        <v>61</v>
      </c>
      <c r="T125" s="39" t="s">
        <v>61</v>
      </c>
      <c r="U125" s="39" t="s">
        <v>61</v>
      </c>
      <c r="V125" s="40" t="s">
        <v>131</v>
      </c>
      <c r="W125" s="39"/>
      <c r="X125" s="40" t="s">
        <v>130</v>
      </c>
      <c r="Y125" s="39" t="s">
        <v>9</v>
      </c>
      <c r="Z125" s="40" t="s">
        <v>98</v>
      </c>
      <c r="AA125" s="39" t="s">
        <v>98</v>
      </c>
      <c r="AB125" s="40" t="s">
        <v>43</v>
      </c>
      <c r="AC125" s="40" t="s">
        <v>11</v>
      </c>
      <c r="AD125" s="40" t="s">
        <v>18</v>
      </c>
      <c r="AE125" s="40" t="s">
        <v>76</v>
      </c>
    </row>
    <row r="126" spans="1:31" x14ac:dyDescent="0.25">
      <c r="A126" s="2" t="s">
        <v>1</v>
      </c>
      <c r="B126" s="2" t="s">
        <v>70</v>
      </c>
      <c r="C126" s="2" t="s">
        <v>68</v>
      </c>
      <c r="D126" s="2" t="s">
        <v>68</v>
      </c>
      <c r="E126" s="2" t="s">
        <v>4</v>
      </c>
      <c r="F126" s="2" t="s">
        <v>69</v>
      </c>
      <c r="G126" s="2" t="s">
        <v>5</v>
      </c>
      <c r="H126" s="2" t="s">
        <v>5</v>
      </c>
      <c r="I126" s="2" t="s">
        <v>5</v>
      </c>
      <c r="J126" s="2" t="s">
        <v>5</v>
      </c>
      <c r="K126" s="2" t="s">
        <v>44</v>
      </c>
      <c r="L126" s="2" t="s">
        <v>44</v>
      </c>
      <c r="M126" s="2" t="s">
        <v>44</v>
      </c>
      <c r="N126" s="2" t="s">
        <v>44</v>
      </c>
      <c r="R126" s="41" t="s">
        <v>1</v>
      </c>
      <c r="S126" s="41" t="s">
        <v>3</v>
      </c>
      <c r="T126" s="39" t="s">
        <v>68</v>
      </c>
      <c r="U126" s="39" t="s">
        <v>68</v>
      </c>
      <c r="V126" s="41" t="s">
        <v>4</v>
      </c>
      <c r="W126" s="39" t="s">
        <v>69</v>
      </c>
      <c r="X126" s="41" t="s">
        <v>5</v>
      </c>
      <c r="Y126" s="39" t="s">
        <v>5</v>
      </c>
      <c r="Z126" s="41" t="s">
        <v>5</v>
      </c>
      <c r="AA126" s="39" t="s">
        <v>5</v>
      </c>
      <c r="AB126" s="41" t="s">
        <v>44</v>
      </c>
      <c r="AC126" s="41" t="s">
        <v>44</v>
      </c>
      <c r="AD126" s="41" t="s">
        <v>44</v>
      </c>
      <c r="AE126" s="41" t="s">
        <v>44</v>
      </c>
    </row>
    <row r="127" spans="1:31" x14ac:dyDescent="0.25">
      <c r="A127" s="20"/>
      <c r="R127" s="41"/>
      <c r="S127" s="41"/>
      <c r="T127" s="41"/>
      <c r="U127" s="41"/>
      <c r="V127" s="41"/>
      <c r="W127" s="41"/>
      <c r="X127" s="41"/>
      <c r="Y127" s="41"/>
      <c r="Z127" s="41"/>
      <c r="AA127" s="41"/>
      <c r="AB127" s="41"/>
      <c r="AC127" s="41"/>
      <c r="AD127" s="41"/>
      <c r="AE127" s="41"/>
    </row>
    <row r="128" spans="1:31" x14ac:dyDescent="0.25">
      <c r="A128" s="20">
        <v>1</v>
      </c>
      <c r="B128" s="32">
        <f>Input!D39</f>
        <v>0.04</v>
      </c>
      <c r="C128" s="33">
        <v>1</v>
      </c>
      <c r="D128" s="34">
        <f>C129</f>
        <v>0.96153846153846145</v>
      </c>
      <c r="E128" s="24">
        <f>H109*Input!B39</f>
        <v>9000000</v>
      </c>
      <c r="F128" s="24">
        <f>E128*C128</f>
        <v>9000000</v>
      </c>
      <c r="G128" s="24">
        <f>D109*Input!I39</f>
        <v>35000</v>
      </c>
      <c r="H128" s="24">
        <f>C128*G128</f>
        <v>35000</v>
      </c>
      <c r="I128" s="24">
        <f>B110*Input!J39</f>
        <v>630</v>
      </c>
      <c r="J128" s="24">
        <f>I128*D128</f>
        <v>605.76923076923072</v>
      </c>
      <c r="K128" s="24">
        <f>F110*1000</f>
        <v>63000</v>
      </c>
      <c r="L128" s="24">
        <f>G110*Input!N39</f>
        <v>0</v>
      </c>
      <c r="M128" s="24">
        <f t="shared" ref="M128:M137" si="37">K128+L128</f>
        <v>63000</v>
      </c>
      <c r="N128" s="24">
        <f>D128*M128</f>
        <v>60576.923076923071</v>
      </c>
      <c r="R128" s="42">
        <f>A128</f>
        <v>1</v>
      </c>
      <c r="S128" s="43">
        <f t="shared" ref="S128:S137" si="38">B128</f>
        <v>0.04</v>
      </c>
      <c r="T128" s="42">
        <f t="shared" ref="T128:T137" si="39">C128</f>
        <v>1</v>
      </c>
      <c r="U128" s="42">
        <f t="shared" ref="U128:U137" si="40">D128</f>
        <v>0.96153846153846145</v>
      </c>
      <c r="V128" s="44">
        <f t="shared" ref="V128:V137" si="41">E128</f>
        <v>9000000</v>
      </c>
      <c r="W128" s="42">
        <f t="shared" ref="W128:W140" si="42">F128</f>
        <v>9000000</v>
      </c>
      <c r="X128" s="44">
        <f t="shared" ref="X128:X137" si="43">G128</f>
        <v>35000</v>
      </c>
      <c r="Y128" s="42">
        <f t="shared" ref="Y128:Y140" si="44">H128</f>
        <v>35000</v>
      </c>
      <c r="Z128" s="44">
        <f t="shared" ref="Z128:Z137" si="45">I128</f>
        <v>630</v>
      </c>
      <c r="AA128" s="42">
        <f t="shared" ref="AA128:AA140" si="46">J128</f>
        <v>605.76923076923072</v>
      </c>
      <c r="AB128" s="44">
        <f t="shared" ref="AB128:AB137" si="47">K128</f>
        <v>63000</v>
      </c>
      <c r="AC128" s="44">
        <f t="shared" ref="AC128:AC137" si="48">L128</f>
        <v>0</v>
      </c>
      <c r="AD128" s="44">
        <f t="shared" ref="AD128:AD137" si="49">M128</f>
        <v>63000</v>
      </c>
      <c r="AE128" s="44">
        <f t="shared" ref="AE128:AE140" si="50">N128</f>
        <v>60576.923076923071</v>
      </c>
    </row>
    <row r="129" spans="1:31" x14ac:dyDescent="0.25">
      <c r="A129" s="20">
        <v>2</v>
      </c>
      <c r="B129" s="32">
        <f>Input!D40</f>
        <v>0.04</v>
      </c>
      <c r="C129" s="33">
        <f t="shared" ref="C129:C137" si="51">C128/(1+B128)</f>
        <v>0.96153846153846145</v>
      </c>
      <c r="D129" s="33">
        <f t="shared" ref="D129:D137" si="52">D128/(1+B128)</f>
        <v>0.92455621301775137</v>
      </c>
      <c r="E129" s="24">
        <f>H110*Input!B40</f>
        <v>7645180.5</v>
      </c>
      <c r="F129" s="24">
        <f t="shared" ref="F129:F137" si="53">E129*C129</f>
        <v>7351135.0961538451</v>
      </c>
      <c r="G129" s="24">
        <f>D110*Input!I40</f>
        <v>30325.882650000003</v>
      </c>
      <c r="H129" s="24">
        <f t="shared" ref="H129:H137" si="54">C129*G129</f>
        <v>29159.502548076922</v>
      </c>
      <c r="I129" s="24">
        <f>B111*Input!J40</f>
        <v>654.08766500000002</v>
      </c>
      <c r="J129" s="24">
        <f t="shared" ref="J129:J137" si="55">I129*D129</f>
        <v>604.74081453402357</v>
      </c>
      <c r="K129" s="24">
        <f t="shared" ref="K129:K137" si="56">F111*1000</f>
        <v>65408.766499999998</v>
      </c>
      <c r="L129" s="24">
        <f>G111*Input!N40</f>
        <v>1018572.4948019999</v>
      </c>
      <c r="M129" s="24">
        <f t="shared" si="37"/>
        <v>1083981.2613019999</v>
      </c>
      <c r="N129" s="24">
        <f t="shared" ref="N129:N137" si="57">D129*M129</f>
        <v>1002201.6099315826</v>
      </c>
      <c r="R129" s="42">
        <f t="shared" ref="R129:R137" si="58">A129</f>
        <v>2</v>
      </c>
      <c r="S129" s="43">
        <f t="shared" si="38"/>
        <v>0.04</v>
      </c>
      <c r="T129" s="42">
        <f t="shared" si="39"/>
        <v>0.96153846153846145</v>
      </c>
      <c r="U129" s="42">
        <f t="shared" si="40"/>
        <v>0.92455621301775137</v>
      </c>
      <c r="V129" s="44">
        <f t="shared" si="41"/>
        <v>7645180.5</v>
      </c>
      <c r="W129" s="42">
        <f t="shared" si="42"/>
        <v>7351135.0961538451</v>
      </c>
      <c r="X129" s="44">
        <f t="shared" si="43"/>
        <v>30325.882650000003</v>
      </c>
      <c r="Y129" s="42">
        <f t="shared" si="44"/>
        <v>29159.502548076922</v>
      </c>
      <c r="Z129" s="44">
        <f t="shared" si="45"/>
        <v>654.08766500000002</v>
      </c>
      <c r="AA129" s="42">
        <f t="shared" si="46"/>
        <v>604.74081453402357</v>
      </c>
      <c r="AB129" s="44">
        <f t="shared" si="47"/>
        <v>65408.766499999998</v>
      </c>
      <c r="AC129" s="44">
        <f t="shared" si="48"/>
        <v>1018572.4948019999</v>
      </c>
      <c r="AD129" s="44">
        <f t="shared" si="49"/>
        <v>1083981.2613019999</v>
      </c>
      <c r="AE129" s="44">
        <f t="shared" si="50"/>
        <v>1002201.6099315826</v>
      </c>
    </row>
    <row r="130" spans="1:31" x14ac:dyDescent="0.25">
      <c r="A130" s="20">
        <v>3</v>
      </c>
      <c r="B130" s="32">
        <f>Input!D41</f>
        <v>0.04</v>
      </c>
      <c r="C130" s="33">
        <f t="shared" si="51"/>
        <v>0.92455621301775137</v>
      </c>
      <c r="D130" s="33">
        <f t="shared" si="52"/>
        <v>0.88899635867091475</v>
      </c>
      <c r="E130" s="24">
        <f>H111*Input!B41</f>
        <v>6722578.4656932</v>
      </c>
      <c r="F130" s="24">
        <f t="shared" si="53"/>
        <v>6215401.6879559904</v>
      </c>
      <c r="G130" s="24">
        <f>D111*Input!I41</f>
        <v>27199.552472194689</v>
      </c>
      <c r="H130" s="24">
        <f t="shared" si="54"/>
        <v>25147.51522946994</v>
      </c>
      <c r="I130" s="24">
        <f>B112*Input!J41</f>
        <v>739.48363122625199</v>
      </c>
      <c r="J130" s="24">
        <f t="shared" si="55"/>
        <v>657.39825545688359</v>
      </c>
      <c r="K130" s="24">
        <f t="shared" si="56"/>
        <v>73948.363122625189</v>
      </c>
      <c r="L130" s="24">
        <f>G112*Input!N41</f>
        <v>1567048.7263695048</v>
      </c>
      <c r="M130" s="24">
        <f t="shared" si="37"/>
        <v>1640997.0894921301</v>
      </c>
      <c r="N130" s="24">
        <f t="shared" si="57"/>
        <v>1458840.437148073</v>
      </c>
      <c r="R130" s="42">
        <f t="shared" si="58"/>
        <v>3</v>
      </c>
      <c r="S130" s="43">
        <f t="shared" si="38"/>
        <v>0.04</v>
      </c>
      <c r="T130" s="42">
        <f t="shared" si="39"/>
        <v>0.92455621301775137</v>
      </c>
      <c r="U130" s="42">
        <f t="shared" si="40"/>
        <v>0.88899635867091475</v>
      </c>
      <c r="V130" s="44">
        <f t="shared" si="41"/>
        <v>6722578.4656932</v>
      </c>
      <c r="W130" s="42">
        <f t="shared" si="42"/>
        <v>6215401.6879559904</v>
      </c>
      <c r="X130" s="44">
        <f t="shared" si="43"/>
        <v>27199.552472194689</v>
      </c>
      <c r="Y130" s="42">
        <f t="shared" si="44"/>
        <v>25147.51522946994</v>
      </c>
      <c r="Z130" s="44">
        <f t="shared" si="45"/>
        <v>739.48363122625199</v>
      </c>
      <c r="AA130" s="42">
        <f t="shared" si="46"/>
        <v>657.39825545688359</v>
      </c>
      <c r="AB130" s="44">
        <f t="shared" si="47"/>
        <v>73948.363122625189</v>
      </c>
      <c r="AC130" s="44">
        <f t="shared" si="48"/>
        <v>1567048.7263695048</v>
      </c>
      <c r="AD130" s="44">
        <f t="shared" si="49"/>
        <v>1640997.0894921301</v>
      </c>
      <c r="AE130" s="44">
        <f t="shared" si="50"/>
        <v>1458840.437148073</v>
      </c>
    </row>
    <row r="131" spans="1:31" x14ac:dyDescent="0.25">
      <c r="A131" s="20">
        <v>4</v>
      </c>
      <c r="B131" s="32">
        <f>Input!D42</f>
        <v>0.04</v>
      </c>
      <c r="C131" s="33">
        <f t="shared" si="51"/>
        <v>0.88899635867091475</v>
      </c>
      <c r="D131" s="33">
        <f t="shared" si="52"/>
        <v>0.85480419102972571</v>
      </c>
      <c r="E131" s="24">
        <f>H112*Input!B42</f>
        <v>6044330.8017109474</v>
      </c>
      <c r="F131" s="24">
        <f t="shared" si="53"/>
        <v>5373388.0733234836</v>
      </c>
      <c r="G131" s="24">
        <f>D112*Input!I42</f>
        <v>24944.469672196941</v>
      </c>
      <c r="H131" s="24">
        <f t="shared" si="54"/>
        <v>22175.542707560147</v>
      </c>
      <c r="I131" s="24">
        <f>B113*Input!J42</f>
        <v>765.61523488338662</v>
      </c>
      <c r="J131" s="24">
        <f t="shared" si="55"/>
        <v>654.45111149452669</v>
      </c>
      <c r="K131" s="24">
        <f t="shared" si="56"/>
        <v>76561.523488338644</v>
      </c>
      <c r="L131" s="24">
        <f>G113*Input!N42</f>
        <v>1931980.8846710389</v>
      </c>
      <c r="M131" s="24">
        <f t="shared" si="37"/>
        <v>2008542.4081593775</v>
      </c>
      <c r="N131" s="24">
        <f t="shared" si="57"/>
        <v>1716910.4683555739</v>
      </c>
      <c r="R131" s="42">
        <f t="shared" si="58"/>
        <v>4</v>
      </c>
      <c r="S131" s="43">
        <f t="shared" si="38"/>
        <v>0.04</v>
      </c>
      <c r="T131" s="42">
        <f t="shared" si="39"/>
        <v>0.88899635867091475</v>
      </c>
      <c r="U131" s="42">
        <f t="shared" si="40"/>
        <v>0.85480419102972571</v>
      </c>
      <c r="V131" s="44">
        <f t="shared" si="41"/>
        <v>6044330.8017109474</v>
      </c>
      <c r="W131" s="42">
        <f t="shared" si="42"/>
        <v>5373388.0733234836</v>
      </c>
      <c r="X131" s="44">
        <f t="shared" si="43"/>
        <v>24944.469672196941</v>
      </c>
      <c r="Y131" s="42">
        <f t="shared" si="44"/>
        <v>22175.542707560147</v>
      </c>
      <c r="Z131" s="44">
        <f t="shared" si="45"/>
        <v>765.61523488338662</v>
      </c>
      <c r="AA131" s="42">
        <f t="shared" si="46"/>
        <v>654.45111149452669</v>
      </c>
      <c r="AB131" s="44">
        <f t="shared" si="47"/>
        <v>76561.523488338644</v>
      </c>
      <c r="AC131" s="44">
        <f t="shared" si="48"/>
        <v>1931980.8846710389</v>
      </c>
      <c r="AD131" s="44">
        <f t="shared" si="49"/>
        <v>2008542.4081593775</v>
      </c>
      <c r="AE131" s="44">
        <f t="shared" si="50"/>
        <v>1716910.4683555739</v>
      </c>
    </row>
    <row r="132" spans="1:31" x14ac:dyDescent="0.25">
      <c r="A132" s="20">
        <v>5</v>
      </c>
      <c r="B132" s="32">
        <f>Input!D43</f>
        <v>0.04</v>
      </c>
      <c r="C132" s="33">
        <f t="shared" si="51"/>
        <v>0.85480419102972571</v>
      </c>
      <c r="D132" s="33">
        <f t="shared" si="52"/>
        <v>0.82192710675935166</v>
      </c>
      <c r="E132" s="24">
        <f>H113*Input!B43</f>
        <v>5494070.6407832671</v>
      </c>
      <c r="F132" s="24">
        <f t="shared" si="53"/>
        <v>4696354.6095549073</v>
      </c>
      <c r="G132" s="24">
        <f>D113*Input!I43</f>
        <v>23127.061809038503</v>
      </c>
      <c r="H132" s="24">
        <f t="shared" si="54"/>
        <v>19769.109360569622</v>
      </c>
      <c r="I132" s="24">
        <f>B114*Input!J43</f>
        <v>976.7236694725807</v>
      </c>
      <c r="J132" s="24">
        <f t="shared" si="55"/>
        <v>802.79565975297555</v>
      </c>
      <c r="K132" s="24">
        <f t="shared" si="56"/>
        <v>97672.366947258066</v>
      </c>
      <c r="L132" s="24">
        <f>G114*Input!N43</f>
        <v>2096595.9599430629</v>
      </c>
      <c r="M132" s="24">
        <f t="shared" si="37"/>
        <v>2194268.326890321</v>
      </c>
      <c r="N132" s="24">
        <f t="shared" si="57"/>
        <v>1803528.6173746448</v>
      </c>
      <c r="R132" s="42">
        <f t="shared" si="58"/>
        <v>5</v>
      </c>
      <c r="S132" s="43">
        <f t="shared" si="38"/>
        <v>0.04</v>
      </c>
      <c r="T132" s="42">
        <f t="shared" si="39"/>
        <v>0.85480419102972571</v>
      </c>
      <c r="U132" s="42">
        <f t="shared" si="40"/>
        <v>0.82192710675935166</v>
      </c>
      <c r="V132" s="44">
        <f t="shared" si="41"/>
        <v>5494070.6407832671</v>
      </c>
      <c r="W132" s="42">
        <f t="shared" si="42"/>
        <v>4696354.6095549073</v>
      </c>
      <c r="X132" s="44">
        <f t="shared" si="43"/>
        <v>23127.061809038503</v>
      </c>
      <c r="Y132" s="42">
        <f t="shared" si="44"/>
        <v>19769.109360569622</v>
      </c>
      <c r="Z132" s="44">
        <f t="shared" si="45"/>
        <v>976.7236694725807</v>
      </c>
      <c r="AA132" s="42">
        <f t="shared" si="46"/>
        <v>802.79565975297555</v>
      </c>
      <c r="AB132" s="44">
        <f t="shared" si="47"/>
        <v>97672.366947258066</v>
      </c>
      <c r="AC132" s="44">
        <f t="shared" si="48"/>
        <v>2096595.9599430629</v>
      </c>
      <c r="AD132" s="44">
        <f t="shared" si="49"/>
        <v>2194268.326890321</v>
      </c>
      <c r="AE132" s="44">
        <f t="shared" si="50"/>
        <v>1803528.6173746448</v>
      </c>
    </row>
    <row r="133" spans="1:31" x14ac:dyDescent="0.25">
      <c r="A133" s="20">
        <v>6</v>
      </c>
      <c r="B133" s="32">
        <f>Input!D44</f>
        <v>0.04</v>
      </c>
      <c r="C133" s="33">
        <f t="shared" si="51"/>
        <v>0.82192710675935166</v>
      </c>
      <c r="D133" s="33">
        <f t="shared" si="52"/>
        <v>0.79031452573014582</v>
      </c>
      <c r="E133" s="24">
        <f>H114*Input!B44</f>
        <v>5046457.7175373733</v>
      </c>
      <c r="F133" s="24">
        <f t="shared" si="53"/>
        <v>4147820.3911588946</v>
      </c>
      <c r="G133" s="24">
        <f>D114*Input!I44</f>
        <v>21667.710905919172</v>
      </c>
      <c r="H133" s="24">
        <f t="shared" si="54"/>
        <v>17809.278935000195</v>
      </c>
      <c r="I133" s="24">
        <f>B115*Input!J44</f>
        <v>785.0045338391468</v>
      </c>
      <c r="J133" s="24">
        <f t="shared" si="55"/>
        <v>620.40048585709951</v>
      </c>
      <c r="K133" s="24">
        <f t="shared" si="56"/>
        <v>78500.453383914675</v>
      </c>
      <c r="L133" s="24">
        <f>G115*Input!N44</f>
        <v>2116544.9242277849</v>
      </c>
      <c r="M133" s="24">
        <f t="shared" si="37"/>
        <v>2195045.3776116995</v>
      </c>
      <c r="N133" s="24">
        <f t="shared" si="57"/>
        <v>1734776.2465633391</v>
      </c>
      <c r="R133" s="42">
        <f t="shared" si="58"/>
        <v>6</v>
      </c>
      <c r="S133" s="43">
        <f t="shared" si="38"/>
        <v>0.04</v>
      </c>
      <c r="T133" s="42">
        <f t="shared" si="39"/>
        <v>0.82192710675935166</v>
      </c>
      <c r="U133" s="42">
        <f t="shared" si="40"/>
        <v>0.79031452573014582</v>
      </c>
      <c r="V133" s="44">
        <f t="shared" si="41"/>
        <v>5046457.7175373733</v>
      </c>
      <c r="W133" s="42">
        <f t="shared" si="42"/>
        <v>4147820.3911588946</v>
      </c>
      <c r="X133" s="44">
        <f t="shared" si="43"/>
        <v>21667.710905919172</v>
      </c>
      <c r="Y133" s="42">
        <f t="shared" si="44"/>
        <v>17809.278935000195</v>
      </c>
      <c r="Z133" s="44">
        <f t="shared" si="45"/>
        <v>785.0045338391468</v>
      </c>
      <c r="AA133" s="42">
        <f t="shared" si="46"/>
        <v>620.40048585709951</v>
      </c>
      <c r="AB133" s="44">
        <f t="shared" si="47"/>
        <v>78500.453383914675</v>
      </c>
      <c r="AC133" s="44">
        <f t="shared" si="48"/>
        <v>2116544.9242277849</v>
      </c>
      <c r="AD133" s="44">
        <f t="shared" si="49"/>
        <v>2195045.3776116995</v>
      </c>
      <c r="AE133" s="44">
        <f t="shared" si="50"/>
        <v>1734776.2465633391</v>
      </c>
    </row>
    <row r="134" spans="1:31" x14ac:dyDescent="0.25">
      <c r="A134" s="20">
        <v>7</v>
      </c>
      <c r="B134" s="32">
        <f>Input!D45</f>
        <v>0.04</v>
      </c>
      <c r="C134" s="33">
        <f t="shared" si="51"/>
        <v>0.79031452573014582</v>
      </c>
      <c r="D134" s="33">
        <f t="shared" si="52"/>
        <v>0.75991781320206331</v>
      </c>
      <c r="E134" s="24">
        <f>H115*Input!B45</f>
        <v>4686635.1893615238</v>
      </c>
      <c r="F134" s="24">
        <f t="shared" si="53"/>
        <v>3703915.8669504649</v>
      </c>
      <c r="G134" s="24">
        <f>D115*Input!I45</f>
        <v>20525.214978563432</v>
      </c>
      <c r="H134" s="24">
        <f t="shared" si="54"/>
        <v>16221.375541292644</v>
      </c>
      <c r="I134" s="24">
        <f>B116*Input!J45</f>
        <v>822.76484435457837</v>
      </c>
      <c r="J134" s="24">
        <f t="shared" si="55"/>
        <v>625.23366130146712</v>
      </c>
      <c r="K134" s="24">
        <f t="shared" si="56"/>
        <v>82276.484435457853</v>
      </c>
      <c r="L134" s="24">
        <f>G116*Input!N45</f>
        <v>2027666.4658303438</v>
      </c>
      <c r="M134" s="24">
        <f t="shared" si="37"/>
        <v>2109942.9502658015</v>
      </c>
      <c r="N134" s="24">
        <f t="shared" si="57"/>
        <v>1603383.2327470977</v>
      </c>
      <c r="R134" s="42">
        <f t="shared" si="58"/>
        <v>7</v>
      </c>
      <c r="S134" s="43">
        <f t="shared" si="38"/>
        <v>0.04</v>
      </c>
      <c r="T134" s="42">
        <f t="shared" si="39"/>
        <v>0.79031452573014582</v>
      </c>
      <c r="U134" s="42">
        <f t="shared" si="40"/>
        <v>0.75991781320206331</v>
      </c>
      <c r="V134" s="44">
        <f t="shared" si="41"/>
        <v>4686635.1893615238</v>
      </c>
      <c r="W134" s="42">
        <f t="shared" si="42"/>
        <v>3703915.8669504649</v>
      </c>
      <c r="X134" s="44">
        <f t="shared" si="43"/>
        <v>20525.214978563432</v>
      </c>
      <c r="Y134" s="42">
        <f t="shared" si="44"/>
        <v>16221.375541292644</v>
      </c>
      <c r="Z134" s="44">
        <f t="shared" si="45"/>
        <v>822.76484435457837</v>
      </c>
      <c r="AA134" s="42">
        <f t="shared" si="46"/>
        <v>625.23366130146712</v>
      </c>
      <c r="AB134" s="44">
        <f t="shared" si="47"/>
        <v>82276.484435457853</v>
      </c>
      <c r="AC134" s="44">
        <f t="shared" si="48"/>
        <v>2027666.4658303438</v>
      </c>
      <c r="AD134" s="44">
        <f t="shared" si="49"/>
        <v>2109942.9502658015</v>
      </c>
      <c r="AE134" s="44">
        <f t="shared" si="50"/>
        <v>1603383.2327470977</v>
      </c>
    </row>
    <row r="135" spans="1:31" x14ac:dyDescent="0.25">
      <c r="A135" s="20">
        <v>8</v>
      </c>
      <c r="B135" s="32">
        <f>Input!D46</f>
        <v>0.04</v>
      </c>
      <c r="C135" s="33">
        <f t="shared" si="51"/>
        <v>0.75991781320206331</v>
      </c>
      <c r="D135" s="33">
        <f t="shared" si="52"/>
        <v>0.73069020500198389</v>
      </c>
      <c r="E135" s="24">
        <f>H116*Input!B46</f>
        <v>4398476.4874165924</v>
      </c>
      <c r="F135" s="24">
        <f t="shared" si="53"/>
        <v>3342480.6337383096</v>
      </c>
      <c r="G135" s="24">
        <f>D116*Input!I46</f>
        <v>19648.482391174733</v>
      </c>
      <c r="H135" s="24">
        <f t="shared" si="54"/>
        <v>14931.231771440751</v>
      </c>
      <c r="I135" s="24">
        <f>B117*Input!J46</f>
        <v>869.92090528905919</v>
      </c>
      <c r="J135" s="24">
        <f t="shared" si="55"/>
        <v>635.64268462117411</v>
      </c>
      <c r="K135" s="24">
        <f t="shared" si="56"/>
        <v>86992.090528905916</v>
      </c>
      <c r="L135" s="24">
        <f>G117*Input!N46</f>
        <v>1853828.8174691293</v>
      </c>
      <c r="M135" s="24">
        <f t="shared" si="37"/>
        <v>1940820.9079980352</v>
      </c>
      <c r="N135" s="24">
        <f t="shared" si="57"/>
        <v>1418138.8271372209</v>
      </c>
      <c r="R135" s="42">
        <f t="shared" si="58"/>
        <v>8</v>
      </c>
      <c r="S135" s="43">
        <f t="shared" si="38"/>
        <v>0.04</v>
      </c>
      <c r="T135" s="42">
        <f t="shared" si="39"/>
        <v>0.75991781320206331</v>
      </c>
      <c r="U135" s="42">
        <f t="shared" si="40"/>
        <v>0.73069020500198389</v>
      </c>
      <c r="V135" s="44">
        <f t="shared" si="41"/>
        <v>4398476.4874165924</v>
      </c>
      <c r="W135" s="42">
        <f t="shared" si="42"/>
        <v>3342480.6337383096</v>
      </c>
      <c r="X135" s="44">
        <f t="shared" si="43"/>
        <v>19648.482391174733</v>
      </c>
      <c r="Y135" s="42">
        <f t="shared" si="44"/>
        <v>14931.231771440751</v>
      </c>
      <c r="Z135" s="44">
        <f t="shared" si="45"/>
        <v>869.92090528905919</v>
      </c>
      <c r="AA135" s="42">
        <f t="shared" si="46"/>
        <v>635.64268462117411</v>
      </c>
      <c r="AB135" s="44">
        <f t="shared" si="47"/>
        <v>86992.090528905916</v>
      </c>
      <c r="AC135" s="44">
        <f t="shared" si="48"/>
        <v>1853828.8174691293</v>
      </c>
      <c r="AD135" s="44">
        <f t="shared" si="49"/>
        <v>1940820.9079980352</v>
      </c>
      <c r="AE135" s="44">
        <f t="shared" si="50"/>
        <v>1418138.8271372209</v>
      </c>
    </row>
    <row r="136" spans="1:31" x14ac:dyDescent="0.25">
      <c r="A136" s="20">
        <v>9</v>
      </c>
      <c r="B136" s="32">
        <f>Input!D47</f>
        <v>0.04</v>
      </c>
      <c r="C136" s="33">
        <f t="shared" si="51"/>
        <v>0.73069020500198389</v>
      </c>
      <c r="D136" s="33">
        <f t="shared" si="52"/>
        <v>0.70258673557883067</v>
      </c>
      <c r="E136" s="24">
        <f>H117*Input!B47</f>
        <v>4171114.8393055415</v>
      </c>
      <c r="F136" s="24">
        <f t="shared" si="53"/>
        <v>3047792.7570189834</v>
      </c>
      <c r="G136" s="24">
        <f>D117*Input!I47</f>
        <v>19005.489341650373</v>
      </c>
      <c r="H136" s="24">
        <f t="shared" si="54"/>
        <v>13887.124903213531</v>
      </c>
      <c r="I136" s="24">
        <f>B118*Input!J47</f>
        <v>931.54898077823748</v>
      </c>
      <c r="J136" s="24">
        <f t="shared" si="55"/>
        <v>654.49395743676871</v>
      </c>
      <c r="K136" s="24">
        <f t="shared" si="56"/>
        <v>93154.898077823746</v>
      </c>
      <c r="L136" s="24">
        <f>G118*Input!N47</f>
        <v>1609589.2807450343</v>
      </c>
      <c r="M136" s="24">
        <f t="shared" si="37"/>
        <v>1702744.178822858</v>
      </c>
      <c r="N136" s="24">
        <f t="shared" si="57"/>
        <v>1196325.4741250086</v>
      </c>
      <c r="R136" s="42">
        <f t="shared" si="58"/>
        <v>9</v>
      </c>
      <c r="S136" s="43">
        <f t="shared" si="38"/>
        <v>0.04</v>
      </c>
      <c r="T136" s="42">
        <f t="shared" si="39"/>
        <v>0.73069020500198389</v>
      </c>
      <c r="U136" s="42">
        <f t="shared" si="40"/>
        <v>0.70258673557883067</v>
      </c>
      <c r="V136" s="44">
        <f t="shared" si="41"/>
        <v>4171114.8393055415</v>
      </c>
      <c r="W136" s="42">
        <f t="shared" si="42"/>
        <v>3047792.7570189834</v>
      </c>
      <c r="X136" s="44">
        <f t="shared" si="43"/>
        <v>19005.489341650373</v>
      </c>
      <c r="Y136" s="42">
        <f t="shared" si="44"/>
        <v>13887.124903213531</v>
      </c>
      <c r="Z136" s="44">
        <f t="shared" si="45"/>
        <v>931.54898077823748</v>
      </c>
      <c r="AA136" s="42">
        <f t="shared" si="46"/>
        <v>654.49395743676871</v>
      </c>
      <c r="AB136" s="44">
        <f t="shared" si="47"/>
        <v>93154.898077823746</v>
      </c>
      <c r="AC136" s="44">
        <f t="shared" si="48"/>
        <v>1609589.2807450343</v>
      </c>
      <c r="AD136" s="44">
        <f t="shared" si="49"/>
        <v>1702744.178822858</v>
      </c>
      <c r="AE136" s="44">
        <f t="shared" si="50"/>
        <v>1196325.4741250086</v>
      </c>
    </row>
    <row r="137" spans="1:31" x14ac:dyDescent="0.25">
      <c r="A137" s="20">
        <v>10</v>
      </c>
      <c r="B137" s="32">
        <f>Input!D48</f>
        <v>0.04</v>
      </c>
      <c r="C137" s="33">
        <f t="shared" si="51"/>
        <v>0.70258673557883067</v>
      </c>
      <c r="D137" s="33">
        <f t="shared" si="52"/>
        <v>0.67556416882579873</v>
      </c>
      <c r="E137" s="24">
        <f>H118*Input!B48</f>
        <v>3996221.662539396</v>
      </c>
      <c r="F137" s="24">
        <f t="shared" si="53"/>
        <v>2807692.3325329619</v>
      </c>
      <c r="G137" s="24">
        <f>D118*Input!I48</f>
        <v>18572.768711265722</v>
      </c>
      <c r="H137" s="24">
        <f t="shared" si="54"/>
        <v>13048.98093950883</v>
      </c>
      <c r="I137" s="24">
        <f>B119*Input!J48</f>
        <v>994.61516934313818</v>
      </c>
      <c r="J137" s="24">
        <f t="shared" si="55"/>
        <v>671.92637017882817</v>
      </c>
      <c r="K137" s="24">
        <f t="shared" si="56"/>
        <v>99461.516934313826</v>
      </c>
      <c r="L137" s="24">
        <f>G119*Input!N48</f>
        <v>44303001.400170073</v>
      </c>
      <c r="M137" s="24">
        <f t="shared" si="37"/>
        <v>44402462.917104386</v>
      </c>
      <c r="N137" s="24">
        <f t="shared" si="57"/>
        <v>29996712.954411976</v>
      </c>
      <c r="R137" s="42">
        <f t="shared" si="58"/>
        <v>10</v>
      </c>
      <c r="S137" s="43">
        <f t="shared" si="38"/>
        <v>0.04</v>
      </c>
      <c r="T137" s="42">
        <f t="shared" si="39"/>
        <v>0.70258673557883067</v>
      </c>
      <c r="U137" s="42">
        <f t="shared" si="40"/>
        <v>0.67556416882579873</v>
      </c>
      <c r="V137" s="44">
        <f t="shared" si="41"/>
        <v>3996221.662539396</v>
      </c>
      <c r="W137" s="42">
        <f t="shared" si="42"/>
        <v>2807692.3325329619</v>
      </c>
      <c r="X137" s="44">
        <f t="shared" si="43"/>
        <v>18572.768711265722</v>
      </c>
      <c r="Y137" s="42">
        <f t="shared" si="44"/>
        <v>13048.98093950883</v>
      </c>
      <c r="Z137" s="44">
        <f t="shared" si="45"/>
        <v>994.61516934313818</v>
      </c>
      <c r="AA137" s="42">
        <f t="shared" si="46"/>
        <v>671.92637017882817</v>
      </c>
      <c r="AB137" s="44">
        <f t="shared" si="47"/>
        <v>99461.516934313826</v>
      </c>
      <c r="AC137" s="44">
        <f t="shared" si="48"/>
        <v>44303001.400170073</v>
      </c>
      <c r="AD137" s="44">
        <f t="shared" si="49"/>
        <v>44402462.917104386</v>
      </c>
      <c r="AE137" s="44">
        <f t="shared" si="50"/>
        <v>29996712.954411976</v>
      </c>
    </row>
    <row r="138" spans="1:31" x14ac:dyDescent="0.25">
      <c r="B138" s="28"/>
      <c r="C138" s="28"/>
      <c r="D138" s="28"/>
      <c r="F138" s="24"/>
      <c r="G138" s="28"/>
      <c r="H138" s="28"/>
      <c r="I138" s="28"/>
      <c r="J138" s="28"/>
      <c r="R138" s="45"/>
      <c r="S138" s="45"/>
      <c r="T138" s="45"/>
      <c r="U138" s="45"/>
      <c r="V138" s="45"/>
      <c r="W138" s="45">
        <f t="shared" si="42"/>
        <v>0</v>
      </c>
      <c r="X138" s="45"/>
      <c r="Y138" s="45">
        <f t="shared" si="44"/>
        <v>0</v>
      </c>
      <c r="Z138" s="46"/>
      <c r="AA138" s="45">
        <f t="shared" si="46"/>
        <v>0</v>
      </c>
      <c r="AB138" s="47"/>
      <c r="AC138" s="47"/>
      <c r="AD138" s="47"/>
      <c r="AE138" s="47">
        <f t="shared" si="50"/>
        <v>0</v>
      </c>
    </row>
    <row r="139" spans="1:31" x14ac:dyDescent="0.25">
      <c r="A139" s="20" t="s">
        <v>77</v>
      </c>
      <c r="B139" s="28"/>
      <c r="C139" s="28"/>
      <c r="D139" s="28"/>
      <c r="F139" s="24">
        <f>SUM(F128:F138)</f>
        <v>49685981.448387846</v>
      </c>
      <c r="G139" s="28"/>
      <c r="H139" s="24">
        <f>SUM(H128:H138)</f>
        <v>207149.66193613256</v>
      </c>
      <c r="I139" s="24"/>
      <c r="J139" s="24">
        <f>SUM(J128:J138)</f>
        <v>6532.8522314029778</v>
      </c>
      <c r="N139" s="35">
        <f>SUM(N128:N138)</f>
        <v>41991394.790871441</v>
      </c>
      <c r="R139" s="73" t="s">
        <v>132</v>
      </c>
      <c r="S139" s="75"/>
      <c r="T139" s="48"/>
      <c r="U139" s="48"/>
      <c r="V139" s="44">
        <f>W139</f>
        <v>49685981.448387846</v>
      </c>
      <c r="W139" s="48">
        <f t="shared" si="42"/>
        <v>49685981.448387846</v>
      </c>
      <c r="X139" s="44">
        <f>Y139</f>
        <v>207149.66193613256</v>
      </c>
      <c r="Y139" s="42">
        <f t="shared" si="44"/>
        <v>207149.66193613256</v>
      </c>
      <c r="Z139" s="44">
        <f>AA139</f>
        <v>6532.8522314029778</v>
      </c>
      <c r="AA139" s="42">
        <f t="shared" si="46"/>
        <v>6532.8522314029778</v>
      </c>
      <c r="AB139" s="49"/>
      <c r="AC139" s="49"/>
      <c r="AD139" s="44">
        <f>AE139</f>
        <v>41991394.790871441</v>
      </c>
      <c r="AE139" s="44">
        <f t="shared" si="50"/>
        <v>41991394.790871441</v>
      </c>
    </row>
    <row r="140" spans="1:31" x14ac:dyDescent="0.25">
      <c r="A140" s="13" t="s">
        <v>78</v>
      </c>
      <c r="B140" s="28"/>
      <c r="C140" s="28"/>
      <c r="D140" s="28"/>
      <c r="G140" s="28"/>
      <c r="H140" s="23">
        <f>H139/F139</f>
        <v>4.1691772185543478E-3</v>
      </c>
      <c r="I140" s="23"/>
      <c r="J140" s="19">
        <f>J139/F139</f>
        <v>1.3148280543052348E-4</v>
      </c>
      <c r="K140" s="28"/>
      <c r="L140" s="28"/>
      <c r="N140" s="23">
        <f>N139/F139</f>
        <v>0.84513566134324458</v>
      </c>
      <c r="R140" s="73" t="s">
        <v>129</v>
      </c>
      <c r="S140" s="74"/>
      <c r="T140" s="74"/>
      <c r="U140" s="74"/>
      <c r="V140" s="75"/>
      <c r="W140" s="48">
        <f t="shared" si="42"/>
        <v>0</v>
      </c>
      <c r="X140" s="50">
        <f>Y140</f>
        <v>4.1691772185543478E-3</v>
      </c>
      <c r="Y140" s="51">
        <f t="shared" si="44"/>
        <v>4.1691772185543478E-3</v>
      </c>
      <c r="Z140" s="50">
        <f>AA140</f>
        <v>1.3148280543052348E-4</v>
      </c>
      <c r="AA140" s="52">
        <f t="shared" si="46"/>
        <v>1.3148280543052348E-4</v>
      </c>
      <c r="AB140" s="42"/>
      <c r="AC140" s="42"/>
      <c r="AD140" s="51">
        <f>AE140</f>
        <v>0.84513566134324458</v>
      </c>
      <c r="AE140" s="53">
        <f t="shared" si="50"/>
        <v>0.84513566134324458</v>
      </c>
    </row>
    <row r="141" spans="1:31" x14ac:dyDescent="0.25">
      <c r="B141" s="28"/>
      <c r="C141" s="28"/>
      <c r="D141" s="28"/>
      <c r="E141" s="28"/>
      <c r="F141" s="28"/>
      <c r="G141" s="28"/>
      <c r="H141" s="28"/>
      <c r="I141" s="28"/>
      <c r="J141" s="28"/>
    </row>
    <row r="142" spans="1:31" x14ac:dyDescent="0.25">
      <c r="A142" s="13" t="s">
        <v>79</v>
      </c>
      <c r="B142" s="28"/>
      <c r="C142" s="28"/>
      <c r="D142" s="28"/>
      <c r="E142" s="28"/>
      <c r="F142" s="30">
        <f>J140+N140</f>
        <v>0.8452671441486751</v>
      </c>
      <c r="G142" s="28"/>
      <c r="H142" s="28"/>
      <c r="I142" s="28"/>
      <c r="J142" s="28"/>
    </row>
    <row r="143" spans="1:31" x14ac:dyDescent="0.25">
      <c r="B143" s="28"/>
      <c r="C143" s="28"/>
      <c r="D143" s="28"/>
      <c r="E143" s="28"/>
      <c r="F143" s="28"/>
      <c r="G143" s="28"/>
      <c r="H143" s="28"/>
      <c r="I143" s="28"/>
      <c r="J143" s="28"/>
    </row>
    <row r="144" spans="1:31" x14ac:dyDescent="0.25">
      <c r="A144" s="3" t="s">
        <v>80</v>
      </c>
      <c r="B144" s="28"/>
      <c r="C144" s="28"/>
      <c r="D144" s="28"/>
      <c r="E144" s="28"/>
      <c r="F144" s="28"/>
      <c r="G144" s="28"/>
      <c r="H144" s="28" t="s">
        <v>100</v>
      </c>
      <c r="I144" s="28"/>
      <c r="J144" s="28"/>
    </row>
    <row r="145" spans="1:22" x14ac:dyDescent="0.25">
      <c r="B145" s="28"/>
      <c r="C145" s="28"/>
      <c r="D145" s="28"/>
      <c r="E145" s="28"/>
      <c r="F145" s="28"/>
      <c r="G145" s="28"/>
      <c r="H145" s="28"/>
      <c r="I145" s="28"/>
      <c r="J145" s="28"/>
    </row>
    <row r="146" spans="1:22" x14ac:dyDescent="0.25">
      <c r="C146" s="20"/>
      <c r="D146" s="20"/>
      <c r="G146" s="20"/>
      <c r="H146" s="20"/>
      <c r="I146" s="20"/>
      <c r="J146" s="20"/>
    </row>
    <row r="147" spans="1:22" x14ac:dyDescent="0.25">
      <c r="A147" s="20" t="s">
        <v>0</v>
      </c>
      <c r="B147" s="20"/>
      <c r="C147" s="20" t="s">
        <v>82</v>
      </c>
      <c r="D147" s="20" t="s">
        <v>18</v>
      </c>
      <c r="E147" s="20" t="s">
        <v>98</v>
      </c>
      <c r="F147" s="20" t="s">
        <v>83</v>
      </c>
      <c r="G147" s="20"/>
      <c r="H147" s="20" t="s">
        <v>101</v>
      </c>
      <c r="I147" s="20" t="s">
        <v>102</v>
      </c>
      <c r="J147" s="20" t="s">
        <v>102</v>
      </c>
      <c r="K147" s="20" t="s">
        <v>104</v>
      </c>
      <c r="L147" s="20" t="s">
        <v>105</v>
      </c>
      <c r="M147" s="20"/>
      <c r="O147" s="20"/>
      <c r="R147" s="13" t="s">
        <v>147</v>
      </c>
    </row>
    <row r="148" spans="1:22" x14ac:dyDescent="0.25">
      <c r="A148" s="2" t="s">
        <v>1</v>
      </c>
      <c r="B148" s="2" t="s">
        <v>81</v>
      </c>
      <c r="C148" s="2" t="s">
        <v>64</v>
      </c>
      <c r="D148" s="2" t="s">
        <v>44</v>
      </c>
      <c r="E148" s="2" t="s">
        <v>37</v>
      </c>
      <c r="F148" s="2" t="s">
        <v>62</v>
      </c>
      <c r="G148" s="2"/>
      <c r="H148" s="2" t="s">
        <v>1</v>
      </c>
      <c r="I148" s="2" t="s">
        <v>103</v>
      </c>
      <c r="J148" s="2" t="s">
        <v>44</v>
      </c>
      <c r="K148" s="2" t="s">
        <v>37</v>
      </c>
      <c r="L148" s="2" t="s">
        <v>62</v>
      </c>
      <c r="M148" s="2"/>
      <c r="O148" s="2"/>
      <c r="R148" s="40" t="s">
        <v>101</v>
      </c>
      <c r="S148" s="40" t="s">
        <v>102</v>
      </c>
      <c r="T148" s="40" t="s">
        <v>102</v>
      </c>
      <c r="U148" s="40" t="s">
        <v>104</v>
      </c>
      <c r="V148" s="40" t="s">
        <v>105</v>
      </c>
    </row>
    <row r="149" spans="1:22" x14ac:dyDescent="0.25">
      <c r="A149" s="20"/>
      <c r="F149" s="24">
        <v>0</v>
      </c>
      <c r="H149" s="20">
        <v>0</v>
      </c>
      <c r="I149" s="24">
        <f>NPV($B$33,B150:B$160)*(1+$B$33)</f>
        <v>41997927.643102832</v>
      </c>
      <c r="J149" s="24">
        <f>NPV($B$33,D150:D$160)</f>
        <v>-41991394.790871426</v>
      </c>
      <c r="K149" s="24">
        <f>NPV($B$33,E150:E$160)</f>
        <v>-6532.8522314029769</v>
      </c>
      <c r="L149" s="24">
        <f>F149</f>
        <v>0</v>
      </c>
      <c r="R149" s="41" t="s">
        <v>1</v>
      </c>
      <c r="S149" s="41" t="s">
        <v>103</v>
      </c>
      <c r="T149" s="41" t="s">
        <v>44</v>
      </c>
      <c r="U149" s="41" t="s">
        <v>37</v>
      </c>
      <c r="V149" s="41" t="s">
        <v>62</v>
      </c>
    </row>
    <row r="150" spans="1:22" x14ac:dyDescent="0.25">
      <c r="A150" s="20">
        <v>1</v>
      </c>
      <c r="B150" s="24">
        <f>F$142*E128</f>
        <v>7607404.2973380759</v>
      </c>
      <c r="C150" s="22">
        <f>B128*(F149+B150)</f>
        <v>304296.17189352302</v>
      </c>
      <c r="D150" s="24">
        <f>-M128</f>
        <v>-63000</v>
      </c>
      <c r="E150" s="24">
        <f>-I128</f>
        <v>-630</v>
      </c>
      <c r="F150" s="24">
        <f>F149+SUM(B150:E150)</f>
        <v>7848070.469231599</v>
      </c>
      <c r="G150" s="35"/>
      <c r="H150" s="20">
        <v>1</v>
      </c>
      <c r="I150" s="24">
        <f>NPV($B$33,B151:B$160)*(1+$B$33)</f>
        <v>35766144.27959536</v>
      </c>
      <c r="J150" s="24">
        <f>NPV($B$33,D151:D$160)</f>
        <v>-43608050.582506292</v>
      </c>
      <c r="K150" s="24">
        <f>NPV($B$33,E151:E$160)</f>
        <v>-6164.1663206590965</v>
      </c>
      <c r="L150" s="24">
        <f>-SUM(I150:K150)</f>
        <v>7848070.4692315906</v>
      </c>
      <c r="M150" s="24"/>
      <c r="N150" s="24"/>
      <c r="R150" s="54">
        <f>H150</f>
        <v>1</v>
      </c>
      <c r="S150" s="55">
        <f t="shared" ref="S150:S159" si="59">I150</f>
        <v>35766144.27959536</v>
      </c>
      <c r="T150" s="55">
        <f t="shared" ref="T150:T159" si="60">J150</f>
        <v>-43608050.582506292</v>
      </c>
      <c r="U150" s="55">
        <f t="shared" ref="U150:U159" si="61">K150</f>
        <v>-6164.1663206590965</v>
      </c>
      <c r="V150" s="55">
        <f t="shared" ref="V150:V159" si="62">L150</f>
        <v>7848070.4692315906</v>
      </c>
    </row>
    <row r="151" spans="1:22" x14ac:dyDescent="0.25">
      <c r="A151" s="20">
        <v>2</v>
      </c>
      <c r="B151" s="24">
        <f t="shared" ref="B151:B159" si="63">F$142*E129</f>
        <v>6462219.8877361398</v>
      </c>
      <c r="C151" s="22">
        <f t="shared" ref="C151:C159" si="64">B129*(F150+B151)</f>
        <v>572411.61427870963</v>
      </c>
      <c r="D151" s="24">
        <f t="shared" ref="D151:D159" si="65">-M129</f>
        <v>-1083981.2613019999</v>
      </c>
      <c r="E151" s="24">
        <f t="shared" ref="E151:E159" si="66">-I129</f>
        <v>-654.08766500000002</v>
      </c>
      <c r="F151" s="24">
        <f t="shared" ref="F151:F159" si="67">F150+SUM(B151:E151)</f>
        <v>13798066.622279448</v>
      </c>
      <c r="G151" s="35"/>
      <c r="H151" s="20">
        <v>2</v>
      </c>
      <c r="I151" s="24">
        <f>NPV($B$33,B152:B$160)*(1+$B$33)</f>
        <v>30476081.367533587</v>
      </c>
      <c r="J151" s="24">
        <f>NPV($B$33,D152:D$160)</f>
        <v>-44268391.344504535</v>
      </c>
      <c r="K151" s="24">
        <f>NPV($B$33,E152:E$160)</f>
        <v>-5756.6453084854611</v>
      </c>
      <c r="L151" s="24">
        <f t="shared" ref="L151:L159" si="68">-SUM(I151:K151)</f>
        <v>13798066.622279434</v>
      </c>
      <c r="M151" s="24"/>
      <c r="N151" s="24"/>
      <c r="R151" s="54">
        <f t="shared" ref="R151:R159" si="69">H151</f>
        <v>2</v>
      </c>
      <c r="S151" s="55">
        <f t="shared" si="59"/>
        <v>30476081.367533587</v>
      </c>
      <c r="T151" s="55">
        <f t="shared" si="60"/>
        <v>-44268391.344504535</v>
      </c>
      <c r="U151" s="55">
        <f t="shared" si="61"/>
        <v>-5756.6453084854611</v>
      </c>
      <c r="V151" s="55">
        <f t="shared" si="62"/>
        <v>13798066.622279434</v>
      </c>
    </row>
    <row r="152" spans="1:22" x14ac:dyDescent="0.25">
      <c r="A152" s="20">
        <v>3</v>
      </c>
      <c r="B152" s="24">
        <f t="shared" si="63"/>
        <v>5682374.7010118729</v>
      </c>
      <c r="C152" s="22">
        <f t="shared" si="64"/>
        <v>779217.65293165285</v>
      </c>
      <c r="D152" s="24">
        <f t="shared" si="65"/>
        <v>-1640997.0894921301</v>
      </c>
      <c r="E152" s="24">
        <f t="shared" si="66"/>
        <v>-739.48363122625199</v>
      </c>
      <c r="F152" s="24">
        <f t="shared" si="67"/>
        <v>18617922.403099619</v>
      </c>
      <c r="G152" s="35"/>
      <c r="H152" s="20">
        <v>3</v>
      </c>
      <c r="I152" s="24">
        <f>NPV($B$33,B153:B$160)*(1+$B$33)</f>
        <v>25785454.93318259</v>
      </c>
      <c r="J152" s="24">
        <f>NPV($B$33,D153:D$160)</f>
        <v>-44398129.9087926</v>
      </c>
      <c r="K152" s="24">
        <f>NPV($B$33,E153:E$160)</f>
        <v>-5247.4274895986273</v>
      </c>
      <c r="L152" s="24">
        <f t="shared" si="68"/>
        <v>18617922.403099608</v>
      </c>
      <c r="M152" s="24"/>
      <c r="N152" s="24"/>
      <c r="R152" s="54">
        <f t="shared" si="69"/>
        <v>3</v>
      </c>
      <c r="S152" s="55">
        <f t="shared" si="59"/>
        <v>25785454.93318259</v>
      </c>
      <c r="T152" s="55">
        <f t="shared" si="60"/>
        <v>-44398129.9087926</v>
      </c>
      <c r="U152" s="55">
        <f t="shared" si="61"/>
        <v>-5247.4274895986273</v>
      </c>
      <c r="V152" s="55">
        <f t="shared" si="62"/>
        <v>18617922.403099608</v>
      </c>
    </row>
    <row r="153" spans="1:22" x14ac:dyDescent="0.25">
      <c r="A153" s="20">
        <v>4</v>
      </c>
      <c r="B153" s="24">
        <f t="shared" si="63"/>
        <v>5109074.2350520846</v>
      </c>
      <c r="C153" s="22">
        <f t="shared" si="64"/>
        <v>949079.86552606826</v>
      </c>
      <c r="D153" s="24">
        <f t="shared" si="65"/>
        <v>-2008542.4081593775</v>
      </c>
      <c r="E153" s="24">
        <f t="shared" si="66"/>
        <v>-765.61523488338662</v>
      </c>
      <c r="F153" s="24">
        <f t="shared" si="67"/>
        <v>22666768.48028351</v>
      </c>
      <c r="G153" s="35"/>
      <c r="H153" s="20">
        <v>4</v>
      </c>
      <c r="I153" s="24">
        <f>NPV($B$33,B154:B$160)*(1+$B$33)</f>
        <v>21503435.926055718</v>
      </c>
      <c r="J153" s="24">
        <f>NPV($B$33,D154:D$160)</f>
        <v>-44165512.696984924</v>
      </c>
      <c r="K153" s="24">
        <f>NPV($B$33,E154:E$160)</f>
        <v>-4691.7093542991861</v>
      </c>
      <c r="L153" s="24">
        <f t="shared" si="68"/>
        <v>22666768.480283506</v>
      </c>
      <c r="M153" s="24"/>
      <c r="N153" s="24"/>
      <c r="R153" s="54">
        <f t="shared" si="69"/>
        <v>4</v>
      </c>
      <c r="S153" s="55">
        <f t="shared" si="59"/>
        <v>21503435.926055718</v>
      </c>
      <c r="T153" s="55">
        <f t="shared" si="60"/>
        <v>-44165512.696984924</v>
      </c>
      <c r="U153" s="55">
        <f t="shared" si="61"/>
        <v>-4691.7093542991861</v>
      </c>
      <c r="V153" s="55">
        <f t="shared" si="62"/>
        <v>22666768.480283506</v>
      </c>
    </row>
    <row r="154" spans="1:22" x14ac:dyDescent="0.25">
      <c r="A154" s="20">
        <v>5</v>
      </c>
      <c r="B154" s="24">
        <f t="shared" si="63"/>
        <v>4643957.4002859537</v>
      </c>
      <c r="C154" s="22">
        <f t="shared" si="64"/>
        <v>1092429.0352227786</v>
      </c>
      <c r="D154" s="24">
        <f t="shared" si="65"/>
        <v>-2194268.326890321</v>
      </c>
      <c r="E154" s="24">
        <f t="shared" si="66"/>
        <v>-976.7236694725807</v>
      </c>
      <c r="F154" s="24">
        <f t="shared" si="67"/>
        <v>26207909.865232449</v>
      </c>
      <c r="G154" s="35"/>
      <c r="H154" s="20">
        <v>5</v>
      </c>
      <c r="I154" s="24">
        <f>NPV($B$33,B155:B$160)*(1+$B$33)</f>
        <v>17533857.666800559</v>
      </c>
      <c r="J154" s="24">
        <f>NPV($B$33,D155:D$160)</f>
        <v>-43737864.877973996</v>
      </c>
      <c r="K154" s="24">
        <f>NPV($B$33,E155:E$160)</f>
        <v>-3902.6540589985734</v>
      </c>
      <c r="L154" s="24">
        <f t="shared" si="68"/>
        <v>26207909.865232438</v>
      </c>
      <c r="M154" s="24"/>
      <c r="N154" s="24"/>
      <c r="R154" s="54">
        <f t="shared" si="69"/>
        <v>5</v>
      </c>
      <c r="S154" s="55">
        <f t="shared" si="59"/>
        <v>17533857.666800559</v>
      </c>
      <c r="T154" s="55">
        <f t="shared" si="60"/>
        <v>-43737864.877973996</v>
      </c>
      <c r="U154" s="55">
        <f t="shared" si="61"/>
        <v>-3902.6540589985734</v>
      </c>
      <c r="V154" s="55">
        <f t="shared" si="62"/>
        <v>26207909.865232438</v>
      </c>
    </row>
    <row r="155" spans="1:22" x14ac:dyDescent="0.25">
      <c r="A155" s="20">
        <v>6</v>
      </c>
      <c r="B155" s="24">
        <f t="shared" si="63"/>
        <v>4265604.9029698567</v>
      </c>
      <c r="C155" s="22">
        <f t="shared" si="64"/>
        <v>1218940.5907280922</v>
      </c>
      <c r="D155" s="24">
        <f t="shared" si="65"/>
        <v>-2195045.3776116995</v>
      </c>
      <c r="E155" s="24">
        <f t="shared" si="66"/>
        <v>-785.0045338391468</v>
      </c>
      <c r="F155" s="24">
        <f t="shared" si="67"/>
        <v>29496624.976784859</v>
      </c>
      <c r="G155" s="35"/>
      <c r="H155" s="20">
        <v>6</v>
      </c>
      <c r="I155" s="24">
        <f>NPV($B$33,B156:B$160)*(1+$B$33)</f>
        <v>13798982.87438393</v>
      </c>
      <c r="J155" s="24">
        <f>NPV($B$33,D156:D$160)</f>
        <v>-43292334.095481269</v>
      </c>
      <c r="K155" s="24">
        <f>NPV($B$33,E156:E$160)</f>
        <v>-3273.7556875193695</v>
      </c>
      <c r="L155" s="24">
        <f t="shared" si="68"/>
        <v>29496624.976784859</v>
      </c>
      <c r="M155" s="24"/>
      <c r="N155" s="24"/>
      <c r="R155" s="54">
        <f t="shared" si="69"/>
        <v>6</v>
      </c>
      <c r="S155" s="55">
        <f t="shared" si="59"/>
        <v>13798982.87438393</v>
      </c>
      <c r="T155" s="55">
        <f t="shared" si="60"/>
        <v>-43292334.095481269</v>
      </c>
      <c r="U155" s="55">
        <f t="shared" si="61"/>
        <v>-3273.7556875193695</v>
      </c>
      <c r="V155" s="55">
        <f t="shared" si="62"/>
        <v>29496624.976784859</v>
      </c>
    </row>
    <row r="156" spans="1:22" x14ac:dyDescent="0.25">
      <c r="A156" s="20">
        <v>7</v>
      </c>
      <c r="B156" s="24">
        <f t="shared" si="63"/>
        <v>3961458.7421783004</v>
      </c>
      <c r="C156" s="22">
        <f t="shared" si="64"/>
        <v>1338323.3487585264</v>
      </c>
      <c r="D156" s="24">
        <f t="shared" si="65"/>
        <v>-2109942.9502658015</v>
      </c>
      <c r="E156" s="24">
        <f t="shared" si="66"/>
        <v>-822.76484435457837</v>
      </c>
      <c r="F156" s="24">
        <f t="shared" si="67"/>
        <v>32685641.352611531</v>
      </c>
      <c r="G156" s="35"/>
      <c r="H156" s="20">
        <v>7</v>
      </c>
      <c r="I156" s="24">
        <f>NPV($B$33,B157:B$160)*(1+$B$33)</f>
        <v>10231025.097493853</v>
      </c>
      <c r="J156" s="24">
        <f>NPV($B$33,D157:D$160)</f>
        <v>-42914084.509034716</v>
      </c>
      <c r="K156" s="24">
        <f>NPV($B$33,E157:E$160)</f>
        <v>-2581.9410706655658</v>
      </c>
      <c r="L156" s="24">
        <f t="shared" si="68"/>
        <v>32685641.352611527</v>
      </c>
      <c r="M156" s="24"/>
      <c r="N156" s="24"/>
      <c r="R156" s="54">
        <f t="shared" si="69"/>
        <v>7</v>
      </c>
      <c r="S156" s="55">
        <f t="shared" si="59"/>
        <v>10231025.097493853</v>
      </c>
      <c r="T156" s="55">
        <f t="shared" si="60"/>
        <v>-42914084.509034716</v>
      </c>
      <c r="U156" s="55">
        <f t="shared" si="61"/>
        <v>-2581.9410706655658</v>
      </c>
      <c r="V156" s="55">
        <f t="shared" si="62"/>
        <v>32685641.352611527</v>
      </c>
    </row>
    <row r="157" spans="1:22" x14ac:dyDescent="0.25">
      <c r="A157" s="20">
        <v>8</v>
      </c>
      <c r="B157" s="24">
        <f t="shared" si="63"/>
        <v>3717887.6591237187</v>
      </c>
      <c r="C157" s="22">
        <f t="shared" si="64"/>
        <v>1456141.1604694098</v>
      </c>
      <c r="D157" s="24">
        <f t="shared" si="65"/>
        <v>-1940820.9079980352</v>
      </c>
      <c r="E157" s="24">
        <f t="shared" si="66"/>
        <v>-869.92090528905919</v>
      </c>
      <c r="F157" s="24">
        <f t="shared" si="67"/>
        <v>35917979.343301333</v>
      </c>
      <c r="G157" s="35"/>
      <c r="H157" s="20">
        <v>8</v>
      </c>
      <c r="I157" s="24">
        <f>NPV($B$33,B158:B$160)*(1+$B$33)</f>
        <v>6773662.9359049406</v>
      </c>
      <c r="J157" s="24">
        <f>NPV($B$33,D158:D$160)</f>
        <v>-42689826.981398076</v>
      </c>
      <c r="K157" s="24">
        <f>NPV($B$33,E158:E$160)</f>
        <v>-1815.2978082031298</v>
      </c>
      <c r="L157" s="24">
        <f t="shared" si="68"/>
        <v>35917979.343301333</v>
      </c>
      <c r="M157" s="24"/>
      <c r="N157" s="24"/>
      <c r="R157" s="54">
        <f t="shared" si="69"/>
        <v>8</v>
      </c>
      <c r="S157" s="55">
        <f t="shared" si="59"/>
        <v>6773662.9359049406</v>
      </c>
      <c r="T157" s="55">
        <f t="shared" si="60"/>
        <v>-42689826.981398076</v>
      </c>
      <c r="U157" s="55">
        <f t="shared" si="61"/>
        <v>-1815.2978082031298</v>
      </c>
      <c r="V157" s="55">
        <f t="shared" si="62"/>
        <v>35917979.343301333</v>
      </c>
    </row>
    <row r="158" spans="1:22" x14ac:dyDescent="0.25">
      <c r="A158" s="20">
        <v>9</v>
      </c>
      <c r="B158" s="24">
        <f t="shared" si="63"/>
        <v>3525706.3281359547</v>
      </c>
      <c r="C158" s="22">
        <f t="shared" si="64"/>
        <v>1577747.4268574915</v>
      </c>
      <c r="D158" s="24">
        <f t="shared" si="65"/>
        <v>-1702744.178822858</v>
      </c>
      <c r="E158" s="24">
        <f t="shared" si="66"/>
        <v>-931.54898077823748</v>
      </c>
      <c r="F158" s="24">
        <f t="shared" si="67"/>
        <v>39317757.370491147</v>
      </c>
      <c r="G158" s="35"/>
      <c r="H158" s="20">
        <v>9</v>
      </c>
      <c r="I158" s="24">
        <f>NPV($B$33,B159:B$160)*(1+$B$33)</f>
        <v>3377874.8720797459</v>
      </c>
      <c r="J158" s="24">
        <f>NPV($B$33,D159:D$160)</f>
        <v>-42694675.881831139</v>
      </c>
      <c r="K158" s="24">
        <f>NPV($B$33,E159:E$160)</f>
        <v>-956.36073975301747</v>
      </c>
      <c r="L158" s="24">
        <f t="shared" si="68"/>
        <v>39317757.370491147</v>
      </c>
      <c r="M158" s="24"/>
      <c r="N158" s="24"/>
      <c r="R158" s="54">
        <f t="shared" si="69"/>
        <v>9</v>
      </c>
      <c r="S158" s="55">
        <f t="shared" si="59"/>
        <v>3377874.8720797459</v>
      </c>
      <c r="T158" s="55">
        <f t="shared" si="60"/>
        <v>-42694675.881831139</v>
      </c>
      <c r="U158" s="55">
        <f t="shared" si="61"/>
        <v>-956.36073975301747</v>
      </c>
      <c r="V158" s="55">
        <f t="shared" si="62"/>
        <v>39317757.370491147</v>
      </c>
    </row>
    <row r="159" spans="1:22" x14ac:dyDescent="0.25">
      <c r="A159" s="20">
        <v>10</v>
      </c>
      <c r="B159" s="24">
        <f t="shared" si="63"/>
        <v>3377874.8720797459</v>
      </c>
      <c r="C159" s="22">
        <f t="shared" si="64"/>
        <v>1707825.2897028357</v>
      </c>
      <c r="D159" s="24">
        <f t="shared" si="65"/>
        <v>-44402462.917104386</v>
      </c>
      <c r="E159" s="24">
        <f t="shared" si="66"/>
        <v>-994.61516934313818</v>
      </c>
      <c r="F159" s="24">
        <f t="shared" si="67"/>
        <v>0</v>
      </c>
      <c r="G159" s="35"/>
      <c r="H159" s="20">
        <v>10</v>
      </c>
      <c r="I159" s="24">
        <f>NPV($B$33,B160:B$160)*(1+$B$33)</f>
        <v>0</v>
      </c>
      <c r="J159" s="24">
        <f>NPV($B$33,D160:D$160)</f>
        <v>0</v>
      </c>
      <c r="K159" s="24">
        <f>NPV($B$33,E160:E$160)</f>
        <v>0</v>
      </c>
      <c r="L159" s="24">
        <f t="shared" si="68"/>
        <v>0</v>
      </c>
      <c r="M159" s="24"/>
      <c r="N159" s="24"/>
      <c r="R159" s="54">
        <f t="shared" si="69"/>
        <v>10</v>
      </c>
      <c r="S159" s="55">
        <f t="shared" si="59"/>
        <v>0</v>
      </c>
      <c r="T159" s="55">
        <f t="shared" si="60"/>
        <v>0</v>
      </c>
      <c r="U159" s="55">
        <f t="shared" si="61"/>
        <v>0</v>
      </c>
      <c r="V159" s="55">
        <f t="shared" si="62"/>
        <v>0</v>
      </c>
    </row>
    <row r="160" spans="1:22" x14ac:dyDescent="0.25">
      <c r="B160" s="28"/>
      <c r="C160" s="28"/>
      <c r="D160" s="28"/>
      <c r="E160" s="28"/>
      <c r="F160" s="28"/>
      <c r="G160" s="28"/>
      <c r="H160" s="28"/>
      <c r="I160" s="28"/>
      <c r="J160" s="28"/>
      <c r="R160" s="54"/>
      <c r="S160" s="55"/>
      <c r="T160" s="55"/>
      <c r="U160" s="55"/>
      <c r="V160" s="55"/>
    </row>
    <row r="161" spans="1:26" x14ac:dyDescent="0.25">
      <c r="A161" s="3" t="s">
        <v>13</v>
      </c>
    </row>
    <row r="162" spans="1:26" x14ac:dyDescent="0.25">
      <c r="A162" s="3"/>
    </row>
    <row r="163" spans="1:26" x14ac:dyDescent="0.25">
      <c r="A163" s="3"/>
      <c r="G163" s="20" t="s">
        <v>19</v>
      </c>
    </row>
    <row r="164" spans="1:26" x14ac:dyDescent="0.25">
      <c r="B164" s="20"/>
      <c r="C164" s="20" t="s">
        <v>25</v>
      </c>
      <c r="D164" s="20" t="s">
        <v>18</v>
      </c>
      <c r="F164" s="20" t="s">
        <v>106</v>
      </c>
      <c r="G164" s="20" t="s">
        <v>89</v>
      </c>
      <c r="H164" s="20" t="s">
        <v>19</v>
      </c>
    </row>
    <row r="165" spans="1:26" x14ac:dyDescent="0.25">
      <c r="A165" s="20" t="s">
        <v>0</v>
      </c>
      <c r="B165" s="20" t="s">
        <v>25</v>
      </c>
      <c r="C165" s="20" t="s">
        <v>36</v>
      </c>
      <c r="D165" s="20" t="s">
        <v>25</v>
      </c>
      <c r="E165" s="20" t="s">
        <v>66</v>
      </c>
      <c r="F165" s="20" t="s">
        <v>107</v>
      </c>
      <c r="G165" s="20" t="s">
        <v>94</v>
      </c>
      <c r="H165" s="20" t="s">
        <v>87</v>
      </c>
    </row>
    <row r="166" spans="1:26" x14ac:dyDescent="0.25">
      <c r="A166" s="2" t="s">
        <v>1</v>
      </c>
      <c r="B166" s="2" t="s">
        <v>6</v>
      </c>
      <c r="C166" s="2" t="s">
        <v>37</v>
      </c>
      <c r="D166" s="2" t="s">
        <v>37</v>
      </c>
      <c r="E166" s="2" t="s">
        <v>35</v>
      </c>
      <c r="F166" s="2" t="s">
        <v>108</v>
      </c>
      <c r="G166" s="2" t="s">
        <v>95</v>
      </c>
      <c r="H166" s="2" t="s">
        <v>1</v>
      </c>
      <c r="R166" s="71" t="s">
        <v>148</v>
      </c>
      <c r="S166" s="71"/>
      <c r="T166" s="71"/>
      <c r="U166" s="71"/>
      <c r="V166" s="71"/>
      <c r="W166" s="71"/>
      <c r="X166" s="39"/>
      <c r="Y166" s="39"/>
      <c r="Z166" s="39"/>
    </row>
    <row r="167" spans="1:26" x14ac:dyDescent="0.25">
      <c r="E167" s="29"/>
      <c r="R167" s="40"/>
      <c r="S167" s="40"/>
      <c r="T167" s="40" t="s">
        <v>25</v>
      </c>
      <c r="U167" s="40" t="s">
        <v>18</v>
      </c>
      <c r="V167" s="40" t="s">
        <v>0</v>
      </c>
      <c r="W167" s="40" t="s">
        <v>133</v>
      </c>
      <c r="X167" s="40" t="s">
        <v>137</v>
      </c>
      <c r="Y167" s="40" t="s">
        <v>19</v>
      </c>
      <c r="Z167" s="40" t="s">
        <v>13</v>
      </c>
    </row>
    <row r="168" spans="1:26" x14ac:dyDescent="0.25">
      <c r="A168" s="13">
        <v>1</v>
      </c>
      <c r="B168" s="29">
        <f>Input!F39*'Actuarial balances'!E128</f>
        <v>6300000</v>
      </c>
      <c r="C168" s="29">
        <f>Input!H39*'Actuarial balances'!D109</f>
        <v>100000</v>
      </c>
      <c r="D168" s="29">
        <f>B168+C168</f>
        <v>6400000</v>
      </c>
      <c r="E168" s="29"/>
      <c r="G168" s="23"/>
      <c r="H168" s="29">
        <f>D$74*G168</f>
        <v>0</v>
      </c>
      <c r="R168" s="56" t="s">
        <v>0</v>
      </c>
      <c r="S168" s="56" t="s">
        <v>25</v>
      </c>
      <c r="T168" s="56" t="s">
        <v>36</v>
      </c>
      <c r="U168" s="56" t="s">
        <v>25</v>
      </c>
      <c r="V168" s="56" t="s">
        <v>66</v>
      </c>
      <c r="W168" s="56" t="s">
        <v>134</v>
      </c>
      <c r="X168" s="56" t="s">
        <v>136</v>
      </c>
      <c r="Y168" s="56" t="s">
        <v>87</v>
      </c>
      <c r="Z168" s="56" t="s">
        <v>138</v>
      </c>
    </row>
    <row r="169" spans="1:26" x14ac:dyDescent="0.25">
      <c r="A169" s="13">
        <v>2</v>
      </c>
      <c r="B169" s="29">
        <f>Input!F40*'Actuarial balances'!E129</f>
        <v>0</v>
      </c>
      <c r="C169" s="29">
        <v>0</v>
      </c>
      <c r="D169" s="29">
        <f t="shared" ref="D169:D177" si="70">B169+C169</f>
        <v>0</v>
      </c>
      <c r="E169" s="29"/>
      <c r="G169" s="23"/>
      <c r="H169" s="29">
        <f>D$74*G169</f>
        <v>0</v>
      </c>
      <c r="R169" s="56" t="s">
        <v>1</v>
      </c>
      <c r="S169" s="41" t="s">
        <v>6</v>
      </c>
      <c r="T169" s="41" t="s">
        <v>37</v>
      </c>
      <c r="U169" s="56" t="s">
        <v>37</v>
      </c>
      <c r="V169" s="56" t="s">
        <v>139</v>
      </c>
      <c r="W169" s="56" t="s">
        <v>135</v>
      </c>
      <c r="X169" s="56" t="s">
        <v>13</v>
      </c>
      <c r="Y169" s="56" t="s">
        <v>1</v>
      </c>
      <c r="Z169" s="56" t="s">
        <v>139</v>
      </c>
    </row>
    <row r="170" spans="1:26" x14ac:dyDescent="0.25">
      <c r="A170" s="13">
        <v>3</v>
      </c>
      <c r="B170" s="29">
        <f>Input!F41*'Actuarial balances'!E130</f>
        <v>0</v>
      </c>
      <c r="C170" s="29">
        <v>0</v>
      </c>
      <c r="D170" s="29">
        <f t="shared" si="70"/>
        <v>0</v>
      </c>
      <c r="E170" s="29"/>
      <c r="G170" s="23"/>
      <c r="H170" s="29">
        <f>D$74*G170</f>
        <v>0</v>
      </c>
      <c r="R170" s="45">
        <f t="shared" ref="R170:R176" si="71">A171</f>
        <v>4</v>
      </c>
      <c r="S170" s="46">
        <f t="shared" ref="S170:S176" si="72">B171</f>
        <v>0</v>
      </c>
      <c r="T170" s="46">
        <f t="shared" ref="T170:T176" si="73">C171</f>
        <v>0</v>
      </c>
      <c r="U170" s="46">
        <f t="shared" ref="U170:U176" si="74">D171</f>
        <v>0</v>
      </c>
      <c r="V170" s="46">
        <f>V76</f>
        <v>61045.229342036298</v>
      </c>
      <c r="W170" s="57">
        <f>SUM($V170:$V$176)</f>
        <v>308810.85041048547</v>
      </c>
      <c r="X170" s="58"/>
      <c r="Y170" s="46">
        <f>X170*(0+U170)</f>
        <v>0</v>
      </c>
      <c r="Z170" s="57">
        <f>Z76</f>
        <v>3109839.3269696543</v>
      </c>
    </row>
    <row r="171" spans="1:26" x14ac:dyDescent="0.25">
      <c r="A171" s="13">
        <v>4</v>
      </c>
      <c r="B171" s="29">
        <f>Input!F42*'Actuarial balances'!E131</f>
        <v>0</v>
      </c>
      <c r="C171" s="29">
        <v>0</v>
      </c>
      <c r="D171" s="29">
        <f t="shared" si="70"/>
        <v>0</v>
      </c>
      <c r="E171" s="29"/>
      <c r="G171" s="23"/>
      <c r="H171" s="29">
        <f>D$74*G171</f>
        <v>0</v>
      </c>
      <c r="R171" s="45">
        <f t="shared" si="71"/>
        <v>5</v>
      </c>
      <c r="S171" s="46">
        <f t="shared" si="72"/>
        <v>0</v>
      </c>
      <c r="T171" s="46">
        <f t="shared" si="73"/>
        <v>0</v>
      </c>
      <c r="U171" s="46">
        <f t="shared" si="74"/>
        <v>0</v>
      </c>
      <c r="V171" s="46">
        <f t="shared" ref="V171:V176" si="75">E172</f>
        <v>56071.752417081923</v>
      </c>
      <c r="W171" s="57">
        <f>SUM($V171:$V$176)</f>
        <v>247765.62106844917</v>
      </c>
      <c r="X171" s="58">
        <f t="shared" ref="X171:X176" si="76">V170/W170</f>
        <v>0.19767838228770845</v>
      </c>
      <c r="Y171" s="46">
        <f t="shared" ref="Y171:Y176" si="77">X171*(Z170+U171)</f>
        <v>614748.00733005733</v>
      </c>
      <c r="Z171" s="57">
        <f t="shared" ref="Z171:Z176" si="78">Z170+U171-Y171</f>
        <v>2495091.3196395971</v>
      </c>
    </row>
    <row r="172" spans="1:26" x14ac:dyDescent="0.25">
      <c r="A172" s="13">
        <v>5</v>
      </c>
      <c r="B172" s="29">
        <f>Input!F43*'Actuarial balances'!E132</f>
        <v>0</v>
      </c>
      <c r="C172" s="29">
        <v>0</v>
      </c>
      <c r="D172" s="29">
        <f t="shared" si="70"/>
        <v>0</v>
      </c>
      <c r="E172" s="29">
        <f t="shared" ref="E172:E177" si="79">H114</f>
        <v>56071.752417081923</v>
      </c>
      <c r="F172" s="19">
        <f>MAX(0,1-E172/E78)</f>
        <v>3.2041012495998E-4</v>
      </c>
      <c r="G172" s="23"/>
      <c r="H172" s="29">
        <f>G78+D96*F172</f>
        <v>615389.4659992099</v>
      </c>
      <c r="J172" s="38" t="s">
        <v>109</v>
      </c>
      <c r="K172" s="38"/>
      <c r="L172" s="29">
        <f>H172-G78</f>
        <v>799.50316056748852</v>
      </c>
      <c r="R172" s="45">
        <f t="shared" si="71"/>
        <v>6</v>
      </c>
      <c r="S172" s="46">
        <f t="shared" si="72"/>
        <v>0</v>
      </c>
      <c r="T172" s="46">
        <f t="shared" si="73"/>
        <v>0</v>
      </c>
      <c r="U172" s="46">
        <f t="shared" si="74"/>
        <v>0</v>
      </c>
      <c r="V172" s="46">
        <f t="shared" si="75"/>
        <v>52073.724326239149</v>
      </c>
      <c r="W172" s="57">
        <f>SUM($V172:$V$176)</f>
        <v>191693.86865136726</v>
      </c>
      <c r="X172" s="58">
        <f t="shared" si="76"/>
        <v>0.22630965577581572</v>
      </c>
      <c r="Y172" s="46">
        <f t="shared" si="77"/>
        <v>564663.257676863</v>
      </c>
      <c r="Z172" s="57">
        <f t="shared" si="78"/>
        <v>1930428.061962734</v>
      </c>
    </row>
    <row r="173" spans="1:26" x14ac:dyDescent="0.25">
      <c r="A173" s="13">
        <v>6</v>
      </c>
      <c r="B173" s="29">
        <f>Input!F44*'Actuarial balances'!E133</f>
        <v>0</v>
      </c>
      <c r="C173" s="29">
        <v>0</v>
      </c>
      <c r="D173" s="29">
        <f t="shared" si="70"/>
        <v>0</v>
      </c>
      <c r="E173" s="29">
        <f t="shared" si="79"/>
        <v>52073.724326239149</v>
      </c>
      <c r="G173" s="23">
        <f>E172/E$179</f>
        <v>0.22630965577581572</v>
      </c>
      <c r="H173" s="29">
        <f>D$190*G173</f>
        <v>564518.08938625269</v>
      </c>
      <c r="R173" s="45">
        <f t="shared" si="71"/>
        <v>7</v>
      </c>
      <c r="S173" s="46">
        <f t="shared" si="72"/>
        <v>0</v>
      </c>
      <c r="T173" s="46">
        <f t="shared" si="73"/>
        <v>0</v>
      </c>
      <c r="U173" s="46">
        <f t="shared" si="74"/>
        <v>0</v>
      </c>
      <c r="V173" s="46">
        <f t="shared" si="75"/>
        <v>48871.96097129547</v>
      </c>
      <c r="W173" s="57">
        <f>SUM($V173:$V$176)</f>
        <v>139620.14432512812</v>
      </c>
      <c r="X173" s="58">
        <f t="shared" si="76"/>
        <v>0.27165044293067814</v>
      </c>
      <c r="Y173" s="46">
        <f t="shared" si="77"/>
        <v>524401.63807798724</v>
      </c>
      <c r="Z173" s="57">
        <f t="shared" si="78"/>
        <v>1406026.4238847466</v>
      </c>
    </row>
    <row r="174" spans="1:26" x14ac:dyDescent="0.25">
      <c r="A174" s="13">
        <v>7</v>
      </c>
      <c r="B174" s="29">
        <f>Input!F45*'Actuarial balances'!E134</f>
        <v>0</v>
      </c>
      <c r="C174" s="29">
        <v>0</v>
      </c>
      <c r="D174" s="29">
        <f t="shared" si="70"/>
        <v>0</v>
      </c>
      <c r="E174" s="29">
        <f t="shared" si="79"/>
        <v>48871.96097129547</v>
      </c>
      <c r="G174" s="23">
        <f>E173/E$179</f>
        <v>0.2101733246996885</v>
      </c>
      <c r="H174" s="29">
        <f t="shared" ref="H174:H177" si="80">D$190*G174</f>
        <v>524266.82057683408</v>
      </c>
      <c r="K174" s="35"/>
      <c r="R174" s="45">
        <f t="shared" si="71"/>
        <v>8</v>
      </c>
      <c r="S174" s="46">
        <f t="shared" si="72"/>
        <v>0</v>
      </c>
      <c r="T174" s="46">
        <f t="shared" si="73"/>
        <v>0</v>
      </c>
      <c r="U174" s="46">
        <f t="shared" si="74"/>
        <v>0</v>
      </c>
      <c r="V174" s="46">
        <f t="shared" si="75"/>
        <v>46345.720436728239</v>
      </c>
      <c r="W174" s="57">
        <f>SUM($V174:$V$176)</f>
        <v>90748.183353832632</v>
      </c>
      <c r="X174" s="58">
        <f t="shared" si="76"/>
        <v>0.35003517012193597</v>
      </c>
      <c r="Y174" s="46">
        <f t="shared" si="77"/>
        <v>492158.69848043454</v>
      </c>
      <c r="Z174" s="57">
        <f t="shared" si="78"/>
        <v>913867.72540431214</v>
      </c>
    </row>
    <row r="175" spans="1:26" x14ac:dyDescent="0.25">
      <c r="A175" s="13">
        <v>8</v>
      </c>
      <c r="B175" s="29">
        <f>Input!F46*'Actuarial balances'!E135</f>
        <v>0</v>
      </c>
      <c r="C175" s="29">
        <v>0</v>
      </c>
      <c r="D175" s="29">
        <f t="shared" si="70"/>
        <v>0</v>
      </c>
      <c r="E175" s="29">
        <f t="shared" si="79"/>
        <v>46345.720436728239</v>
      </c>
      <c r="G175" s="23">
        <f>E174/E$179</f>
        <v>0.19725077579586323</v>
      </c>
      <c r="H175" s="29">
        <f t="shared" si="80"/>
        <v>492032.17026030336</v>
      </c>
      <c r="R175" s="45">
        <f t="shared" si="71"/>
        <v>9</v>
      </c>
      <c r="S175" s="46">
        <f t="shared" si="72"/>
        <v>0</v>
      </c>
      <c r="T175" s="46">
        <f t="shared" si="73"/>
        <v>0</v>
      </c>
      <c r="U175" s="46">
        <f t="shared" si="74"/>
        <v>0</v>
      </c>
      <c r="V175" s="46">
        <f t="shared" si="75"/>
        <v>44402.4629171044</v>
      </c>
      <c r="W175" s="57">
        <f>SUM($V175:$V$176)</f>
        <v>44402.4629171044</v>
      </c>
      <c r="X175" s="58">
        <f t="shared" si="76"/>
        <v>0.51070686733224713</v>
      </c>
      <c r="Y175" s="46">
        <f t="shared" si="77"/>
        <v>466718.52319728251</v>
      </c>
      <c r="Z175" s="57">
        <f t="shared" si="78"/>
        <v>447149.20220702962</v>
      </c>
    </row>
    <row r="176" spans="1:26" x14ac:dyDescent="0.25">
      <c r="A176" s="13">
        <v>9</v>
      </c>
      <c r="B176" s="29">
        <f>Input!F47*'Actuarial balances'!E136</f>
        <v>0</v>
      </c>
      <c r="C176" s="29">
        <v>0</v>
      </c>
      <c r="D176" s="29">
        <f t="shared" si="70"/>
        <v>0</v>
      </c>
      <c r="E176" s="29">
        <f t="shared" si="79"/>
        <v>44402.4629171044</v>
      </c>
      <c r="G176" s="23">
        <f>E175/E$179</f>
        <v>0.18705468594419927</v>
      </c>
      <c r="H176" s="29">
        <f t="shared" si="80"/>
        <v>466598.53534737806</v>
      </c>
      <c r="R176" s="59">
        <f t="shared" si="71"/>
        <v>10</v>
      </c>
      <c r="S176" s="60">
        <f t="shared" si="72"/>
        <v>0</v>
      </c>
      <c r="T176" s="60">
        <f t="shared" si="73"/>
        <v>0</v>
      </c>
      <c r="U176" s="60">
        <f t="shared" si="74"/>
        <v>0</v>
      </c>
      <c r="V176" s="60">
        <f t="shared" si="75"/>
        <v>0</v>
      </c>
      <c r="W176" s="61">
        <f>SUM($V176:$V$176)</f>
        <v>0</v>
      </c>
      <c r="X176" s="62">
        <f t="shared" si="76"/>
        <v>1</v>
      </c>
      <c r="Y176" s="60">
        <f t="shared" si="77"/>
        <v>447149.20220702962</v>
      </c>
      <c r="Z176" s="61">
        <f t="shared" si="78"/>
        <v>0</v>
      </c>
    </row>
    <row r="177" spans="1:26" x14ac:dyDescent="0.25">
      <c r="A177" s="13">
        <v>10</v>
      </c>
      <c r="B177" s="29">
        <f>Input!F48*'Actuarial balances'!E137</f>
        <v>0</v>
      </c>
      <c r="C177" s="29">
        <v>0</v>
      </c>
      <c r="D177" s="29">
        <f t="shared" si="70"/>
        <v>0</v>
      </c>
      <c r="E177" s="29">
        <f t="shared" si="79"/>
        <v>0</v>
      </c>
      <c r="G177" s="23">
        <f>E176/E$179</f>
        <v>0.17921155778443337</v>
      </c>
      <c r="H177" s="29">
        <f t="shared" si="80"/>
        <v>447034.24539967661</v>
      </c>
      <c r="R177" s="63"/>
      <c r="S177" s="64"/>
      <c r="T177" s="64"/>
      <c r="U177" s="64"/>
      <c r="V177" s="64"/>
      <c r="W177" s="65"/>
      <c r="X177" s="66"/>
      <c r="Y177" s="64"/>
      <c r="Z177" s="65"/>
    </row>
    <row r="178" spans="1:26" x14ac:dyDescent="0.25">
      <c r="B178" s="29"/>
      <c r="C178" s="29"/>
      <c r="D178" s="29"/>
      <c r="E178" s="29"/>
      <c r="F178" s="23"/>
      <c r="G178" s="29"/>
    </row>
    <row r="179" spans="1:26" x14ac:dyDescent="0.25">
      <c r="A179" s="20" t="s">
        <v>86</v>
      </c>
      <c r="B179" s="29"/>
      <c r="C179" s="29"/>
      <c r="D179" s="29"/>
      <c r="E179" s="29">
        <f>SUM(E170:E178)</f>
        <v>247765.62106844917</v>
      </c>
      <c r="F179" s="23"/>
      <c r="G179" s="29"/>
    </row>
    <row r="180" spans="1:26" x14ac:dyDescent="0.25">
      <c r="B180" s="29"/>
      <c r="C180" s="29"/>
      <c r="D180" s="29"/>
      <c r="E180" s="29"/>
    </row>
    <row r="181" spans="1:26" x14ac:dyDescent="0.25">
      <c r="A181" s="3" t="s">
        <v>38</v>
      </c>
      <c r="E181" s="29"/>
      <c r="G181" s="29"/>
    </row>
    <row r="182" spans="1:26" x14ac:dyDescent="0.25">
      <c r="A182" s="3"/>
    </row>
    <row r="183" spans="1:26" x14ac:dyDescent="0.25">
      <c r="B183" s="20"/>
      <c r="C183" s="20"/>
      <c r="D183" s="20" t="s">
        <v>13</v>
      </c>
    </row>
    <row r="184" spans="1:26" x14ac:dyDescent="0.25">
      <c r="B184" s="2" t="s">
        <v>39</v>
      </c>
      <c r="C184" s="2" t="s">
        <v>19</v>
      </c>
      <c r="D184" s="2" t="s">
        <v>35</v>
      </c>
      <c r="E184" s="5" t="s">
        <v>93</v>
      </c>
    </row>
    <row r="185" spans="1:26" x14ac:dyDescent="0.25">
      <c r="D185" s="29">
        <v>0</v>
      </c>
    </row>
    <row r="186" spans="1:26" x14ac:dyDescent="0.25">
      <c r="A186" s="13">
        <v>1</v>
      </c>
      <c r="B186" s="29">
        <f t="shared" ref="B186:B195" si="81">D168</f>
        <v>6400000</v>
      </c>
      <c r="C186" s="29">
        <f>C92</f>
        <v>-1006778.0389440364</v>
      </c>
      <c r="D186" s="29">
        <f>D185+B186+C186</f>
        <v>5393221.9610559633</v>
      </c>
      <c r="E186" s="13" t="s">
        <v>91</v>
      </c>
    </row>
    <row r="187" spans="1:26" x14ac:dyDescent="0.25">
      <c r="A187" s="13">
        <v>2</v>
      </c>
      <c r="B187" s="29">
        <f t="shared" si="81"/>
        <v>0</v>
      </c>
      <c r="C187" s="29">
        <f>C93</f>
        <v>-855222.20346257626</v>
      </c>
      <c r="D187" s="29">
        <f t="shared" ref="D187:D195" si="82">D186+B187+C187</f>
        <v>4537999.7575933868</v>
      </c>
      <c r="E187" s="13" t="s">
        <v>91</v>
      </c>
    </row>
    <row r="188" spans="1:26" x14ac:dyDescent="0.25">
      <c r="A188" s="13">
        <v>3</v>
      </c>
      <c r="B188" s="29">
        <f t="shared" si="81"/>
        <v>0</v>
      </c>
      <c r="C188" s="29">
        <f>C94</f>
        <v>-752016.04048200091</v>
      </c>
      <c r="D188" s="29">
        <f t="shared" si="82"/>
        <v>3785983.7171113859</v>
      </c>
      <c r="E188" s="13" t="s">
        <v>91</v>
      </c>
    </row>
    <row r="189" spans="1:26" x14ac:dyDescent="0.25">
      <c r="A189" s="13">
        <v>4</v>
      </c>
      <c r="B189" s="29">
        <f t="shared" si="81"/>
        <v>0</v>
      </c>
      <c r="C189" s="29">
        <f>C95</f>
        <v>-676144.39014173136</v>
      </c>
      <c r="D189" s="29">
        <f t="shared" si="82"/>
        <v>3109839.3269696543</v>
      </c>
      <c r="E189" s="13" t="s">
        <v>91</v>
      </c>
    </row>
    <row r="190" spans="1:26" x14ac:dyDescent="0.25">
      <c r="A190" s="13">
        <v>5</v>
      </c>
      <c r="B190" s="29">
        <f t="shared" si="81"/>
        <v>0</v>
      </c>
      <c r="C190" s="29">
        <f t="shared" ref="C190:C195" si="83">-H172</f>
        <v>-615389.4659992099</v>
      </c>
      <c r="D190" s="29">
        <f t="shared" si="82"/>
        <v>2494449.8609704445</v>
      </c>
      <c r="E190" s="13" t="s">
        <v>92</v>
      </c>
    </row>
    <row r="191" spans="1:26" x14ac:dyDescent="0.25">
      <c r="A191" s="13">
        <v>6</v>
      </c>
      <c r="B191" s="29">
        <f t="shared" si="81"/>
        <v>0</v>
      </c>
      <c r="C191" s="29">
        <f t="shared" si="83"/>
        <v>-564518.08938625269</v>
      </c>
      <c r="D191" s="29">
        <f t="shared" si="82"/>
        <v>1929931.7715841918</v>
      </c>
      <c r="E191" s="13" t="s">
        <v>92</v>
      </c>
    </row>
    <row r="192" spans="1:26" x14ac:dyDescent="0.25">
      <c r="A192" s="13">
        <v>7</v>
      </c>
      <c r="B192" s="29">
        <f t="shared" si="81"/>
        <v>0</v>
      </c>
      <c r="C192" s="29">
        <f t="shared" si="83"/>
        <v>-524266.82057683408</v>
      </c>
      <c r="D192" s="29">
        <f t="shared" si="82"/>
        <v>1405664.9510073578</v>
      </c>
      <c r="E192" s="13" t="s">
        <v>92</v>
      </c>
    </row>
    <row r="193" spans="1:11" x14ac:dyDescent="0.25">
      <c r="A193" s="13">
        <v>8</v>
      </c>
      <c r="B193" s="29">
        <f t="shared" si="81"/>
        <v>0</v>
      </c>
      <c r="C193" s="29">
        <f t="shared" si="83"/>
        <v>-492032.17026030336</v>
      </c>
      <c r="D193" s="29">
        <f t="shared" si="82"/>
        <v>913632.78074705438</v>
      </c>
      <c r="E193" s="13" t="s">
        <v>92</v>
      </c>
    </row>
    <row r="194" spans="1:11" x14ac:dyDescent="0.25">
      <c r="A194" s="13">
        <v>9</v>
      </c>
      <c r="B194" s="29">
        <f t="shared" si="81"/>
        <v>0</v>
      </c>
      <c r="C194" s="29">
        <f t="shared" si="83"/>
        <v>-466598.53534737806</v>
      </c>
      <c r="D194" s="29">
        <f t="shared" si="82"/>
        <v>447034.24539967632</v>
      </c>
      <c r="E194" s="13" t="s">
        <v>92</v>
      </c>
    </row>
    <row r="195" spans="1:11" x14ac:dyDescent="0.25">
      <c r="A195" s="13">
        <v>10</v>
      </c>
      <c r="B195" s="29">
        <f t="shared" si="81"/>
        <v>0</v>
      </c>
      <c r="C195" s="29">
        <f t="shared" si="83"/>
        <v>-447034.24539967661</v>
      </c>
      <c r="D195" s="29">
        <f t="shared" si="82"/>
        <v>0</v>
      </c>
      <c r="E195" s="13" t="s">
        <v>92</v>
      </c>
    </row>
    <row r="197" spans="1:11" x14ac:dyDescent="0.25">
      <c r="A197" s="4" t="s">
        <v>187</v>
      </c>
    </row>
    <row r="199" spans="1:11" x14ac:dyDescent="0.25">
      <c r="A199" s="3" t="s">
        <v>34</v>
      </c>
      <c r="B199" s="3"/>
      <c r="C199" s="3"/>
      <c r="D199" s="3"/>
    </row>
    <row r="201" spans="1:11" x14ac:dyDescent="0.25">
      <c r="A201" s="20" t="s">
        <v>0</v>
      </c>
      <c r="B201" s="20" t="s">
        <v>74</v>
      </c>
      <c r="C201" s="20" t="s">
        <v>74</v>
      </c>
      <c r="D201" s="20" t="s">
        <v>31</v>
      </c>
      <c r="F201" s="20" t="s">
        <v>75</v>
      </c>
      <c r="G201" s="20" t="s">
        <v>75</v>
      </c>
      <c r="H201" s="20" t="s">
        <v>66</v>
      </c>
      <c r="I201" s="20"/>
      <c r="J201" s="20"/>
    </row>
    <row r="202" spans="1:11" x14ac:dyDescent="0.25">
      <c r="A202" s="2" t="s">
        <v>1</v>
      </c>
      <c r="B202" s="2" t="s">
        <v>32</v>
      </c>
      <c r="C202" s="2" t="s">
        <v>33</v>
      </c>
      <c r="D202" s="2" t="s">
        <v>35</v>
      </c>
      <c r="F202" s="2" t="s">
        <v>32</v>
      </c>
      <c r="G202" s="2" t="s">
        <v>33</v>
      </c>
      <c r="H202" s="2" t="s">
        <v>35</v>
      </c>
      <c r="I202" s="2"/>
      <c r="J202" s="2"/>
    </row>
    <row r="203" spans="1:11" x14ac:dyDescent="0.25">
      <c r="D203" s="28">
        <f>Input!B52</f>
        <v>1000</v>
      </c>
      <c r="H203" s="29">
        <f>D203*Input!B$53</f>
        <v>100000</v>
      </c>
      <c r="I203" s="29"/>
      <c r="J203" s="29"/>
    </row>
    <row r="204" spans="1:11" x14ac:dyDescent="0.25">
      <c r="A204" s="13">
        <v>1</v>
      </c>
      <c r="B204" s="22">
        <f>Input!L60*'Actuarial balances'!D203</f>
        <v>0.63</v>
      </c>
      <c r="C204" s="28">
        <f>Input!M60*('Actuarial balances'!D203-'Actuarial balances'!B204)</f>
        <v>149.90549999999999</v>
      </c>
      <c r="D204" s="28">
        <f t="shared" ref="D204:D213" si="84">D203-B204-C204</f>
        <v>849.46450000000004</v>
      </c>
      <c r="E204" s="37"/>
      <c r="F204" s="29">
        <f>H$203/D$203*B204</f>
        <v>63</v>
      </c>
      <c r="G204" s="29">
        <f>H$109/D$109*C204</f>
        <v>14990.55</v>
      </c>
      <c r="H204" s="29">
        <f t="shared" ref="H204:H213" si="85">H203-F204-G204</f>
        <v>84946.45</v>
      </c>
      <c r="I204" s="29"/>
      <c r="J204" s="29"/>
      <c r="K204" s="29"/>
    </row>
    <row r="205" spans="1:11" x14ac:dyDescent="0.25">
      <c r="A205" s="13">
        <v>2</v>
      </c>
      <c r="B205" s="22">
        <f>Input!L61*'Actuarial balances'!D204</f>
        <v>0.65408766500000004</v>
      </c>
      <c r="C205" s="28">
        <f>Input!M61*('Actuarial balances'!D204-'Actuarial balances'!B205)</f>
        <v>101.8572494802</v>
      </c>
      <c r="D205" s="28">
        <f t="shared" si="84"/>
        <v>746.95316285479998</v>
      </c>
      <c r="E205" s="37"/>
      <c r="F205" s="29">
        <f t="shared" ref="F205:F213" si="86">H$203/D$203*B205</f>
        <v>65.408766499999999</v>
      </c>
      <c r="G205" s="29">
        <f t="shared" ref="G205:G213" si="87">H$109/D$109*C205</f>
        <v>10185.724948019999</v>
      </c>
      <c r="H205" s="29">
        <f t="shared" si="85"/>
        <v>74695.316285480003</v>
      </c>
      <c r="I205" s="29"/>
      <c r="J205" s="29"/>
      <c r="K205" s="29"/>
    </row>
    <row r="206" spans="1:11" x14ac:dyDescent="0.25">
      <c r="A206" s="13">
        <v>3</v>
      </c>
      <c r="B206" s="22">
        <f>Input!L62*'Actuarial balances'!D205</f>
        <v>0.73948363122625194</v>
      </c>
      <c r="C206" s="28">
        <f>Input!M62*('Actuarial balances'!D205-'Actuarial balances'!B206)</f>
        <v>74.621367922357379</v>
      </c>
      <c r="D206" s="28">
        <f t="shared" si="84"/>
        <v>671.59231130121634</v>
      </c>
      <c r="E206" s="37"/>
      <c r="F206" s="29">
        <f t="shared" si="86"/>
        <v>73.948363122625196</v>
      </c>
      <c r="G206" s="29">
        <f t="shared" si="87"/>
        <v>7462.1367922357376</v>
      </c>
      <c r="H206" s="29">
        <f t="shared" si="85"/>
        <v>67159.23113012164</v>
      </c>
      <c r="I206" s="29"/>
      <c r="J206" s="29"/>
      <c r="K206" s="29"/>
    </row>
    <row r="207" spans="1:11" x14ac:dyDescent="0.25">
      <c r="A207" s="13">
        <v>4</v>
      </c>
      <c r="B207" s="22">
        <f>Input!L63*'Actuarial balances'!D206</f>
        <v>0.76561523488338656</v>
      </c>
      <c r="C207" s="28">
        <f>Input!M63*('Actuarial balances'!D206-'Actuarial balances'!B207)</f>
        <v>60.374402645969965</v>
      </c>
      <c r="D207" s="28">
        <f t="shared" si="84"/>
        <v>610.45229342036293</v>
      </c>
      <c r="E207" s="37"/>
      <c r="F207" s="29">
        <f t="shared" si="86"/>
        <v>76.561523488338651</v>
      </c>
      <c r="G207" s="29">
        <f t="shared" si="87"/>
        <v>6037.4402645969967</v>
      </c>
      <c r="H207" s="29">
        <f t="shared" si="85"/>
        <v>61045.229342036298</v>
      </c>
      <c r="I207" s="29"/>
      <c r="J207" s="29"/>
      <c r="K207" s="29"/>
    </row>
    <row r="208" spans="1:11" x14ac:dyDescent="0.25">
      <c r="A208" s="13">
        <v>5</v>
      </c>
      <c r="B208" s="22">
        <f>Input!L64*'Actuarial balances'!D207</f>
        <v>0.97672366947258071</v>
      </c>
      <c r="C208" s="28">
        <f>Input!M64*('Actuarial balances'!D207-'Actuarial balances'!B208)</f>
        <v>48.758045580071233</v>
      </c>
      <c r="D208" s="28">
        <f t="shared" si="84"/>
        <v>560.71752417081916</v>
      </c>
      <c r="E208" s="37"/>
      <c r="F208" s="29">
        <f t="shared" si="86"/>
        <v>97.67236694725807</v>
      </c>
      <c r="G208" s="29">
        <f t="shared" si="87"/>
        <v>4875.804558007123</v>
      </c>
      <c r="H208" s="29">
        <f t="shared" si="85"/>
        <v>56071.752417081923</v>
      </c>
      <c r="I208" s="29"/>
      <c r="J208" s="29"/>
      <c r="K208" s="29"/>
    </row>
    <row r="209" spans="1:31" x14ac:dyDescent="0.25">
      <c r="A209" s="13">
        <v>6</v>
      </c>
      <c r="B209" s="22">
        <f>Input!L65*'Actuarial balances'!D208</f>
        <v>0.82425476053110414</v>
      </c>
      <c r="C209" s="28">
        <f>Input!M65*('Actuarial balances'!D208-'Actuarial balances'!B209)</f>
        <v>39.192528858720173</v>
      </c>
      <c r="D209" s="28">
        <f t="shared" si="84"/>
        <v>520.70074055156795</v>
      </c>
      <c r="E209" s="37"/>
      <c r="F209" s="29">
        <f t="shared" si="86"/>
        <v>82.425476053110415</v>
      </c>
      <c r="G209" s="29">
        <f t="shared" si="87"/>
        <v>3919.2528858720175</v>
      </c>
      <c r="H209" s="29">
        <f t="shared" si="85"/>
        <v>52070.074055156794</v>
      </c>
      <c r="I209" s="29"/>
      <c r="J209" s="29"/>
      <c r="K209" s="29"/>
    </row>
    <row r="210" spans="1:31" x14ac:dyDescent="0.25">
      <c r="A210" s="13">
        <v>7</v>
      </c>
      <c r="B210" s="22">
        <f>Input!L66*'Actuarial balances'!D209</f>
        <v>0.86384252857505128</v>
      </c>
      <c r="C210" s="28">
        <f>Input!M66*('Actuarial balances'!D209-'Actuarial balances'!B210)</f>
        <v>31.19021388137957</v>
      </c>
      <c r="D210" s="28">
        <f t="shared" si="84"/>
        <v>488.64668414161326</v>
      </c>
      <c r="E210" s="37"/>
      <c r="F210" s="29">
        <f t="shared" si="86"/>
        <v>86.384252857505132</v>
      </c>
      <c r="G210" s="29">
        <f t="shared" si="87"/>
        <v>3119.0213881379568</v>
      </c>
      <c r="H210" s="29">
        <f t="shared" si="85"/>
        <v>48864.668414161337</v>
      </c>
      <c r="I210" s="29"/>
      <c r="J210" s="29"/>
      <c r="K210" s="29"/>
    </row>
    <row r="211" spans="1:31" x14ac:dyDescent="0.25">
      <c r="A211" s="13">
        <v>8</v>
      </c>
      <c r="B211" s="22">
        <f>Input!L67*'Actuarial balances'!D210</f>
        <v>0.91328065266067515</v>
      </c>
      <c r="C211" s="28">
        <f>Input!M67*('Actuarial balances'!D210-'Actuarial balances'!B211)</f>
        <v>24.38667017444763</v>
      </c>
      <c r="D211" s="28">
        <f t="shared" si="84"/>
        <v>463.34673331450495</v>
      </c>
      <c r="E211" s="37"/>
      <c r="F211" s="29">
        <f t="shared" si="86"/>
        <v>91.328065266067512</v>
      </c>
      <c r="G211" s="29">
        <f t="shared" si="87"/>
        <v>2438.6670174447631</v>
      </c>
      <c r="H211" s="29">
        <f t="shared" si="85"/>
        <v>46334.673331450504</v>
      </c>
      <c r="I211" s="29"/>
      <c r="J211" s="29"/>
      <c r="K211" s="29"/>
    </row>
    <row r="212" spans="1:31" x14ac:dyDescent="0.25">
      <c r="A212" s="13">
        <v>9</v>
      </c>
      <c r="B212" s="22">
        <f>Input!L68*'Actuarial balances'!D211</f>
        <v>0.97789328066026271</v>
      </c>
      <c r="C212" s="28">
        <f>Input!M68*('Actuarial balances'!D211-'Actuarial balances'!B212)</f>
        <v>18.494753601353786</v>
      </c>
      <c r="D212" s="28">
        <f t="shared" si="84"/>
        <v>443.87408643249086</v>
      </c>
      <c r="E212" s="37"/>
      <c r="F212" s="29">
        <f t="shared" si="86"/>
        <v>97.789328066026272</v>
      </c>
      <c r="G212" s="29">
        <f t="shared" si="87"/>
        <v>1849.4753601353787</v>
      </c>
      <c r="H212" s="29">
        <f t="shared" si="85"/>
        <v>44387.408643249095</v>
      </c>
      <c r="I212" s="29"/>
      <c r="J212" s="29"/>
      <c r="K212" s="29"/>
    </row>
    <row r="213" spans="1:31" x14ac:dyDescent="0.25">
      <c r="A213" s="13">
        <v>10</v>
      </c>
      <c r="B213" s="22">
        <f>Input!L69*'Actuarial balances'!D212</f>
        <v>1.0439918512892186</v>
      </c>
      <c r="C213" s="28">
        <f>Input!M69*('Actuarial balances'!D212-'Actuarial balances'!B213)</f>
        <v>442.83009458120165</v>
      </c>
      <c r="D213" s="28">
        <f t="shared" si="84"/>
        <v>0</v>
      </c>
      <c r="E213" s="37"/>
      <c r="F213" s="29">
        <f t="shared" si="86"/>
        <v>104.39918512892186</v>
      </c>
      <c r="G213" s="29">
        <f t="shared" si="87"/>
        <v>44283.009458120163</v>
      </c>
      <c r="H213" s="29">
        <f t="shared" si="85"/>
        <v>0</v>
      </c>
      <c r="I213" s="29"/>
      <c r="J213" s="29"/>
      <c r="K213" s="29"/>
    </row>
    <row r="214" spans="1:31" x14ac:dyDescent="0.25">
      <c r="B214" s="28"/>
      <c r="C214" s="28"/>
      <c r="D214" s="28"/>
      <c r="E214" s="28"/>
      <c r="F214" s="28"/>
      <c r="G214" s="28"/>
      <c r="H214" s="28"/>
      <c r="I214" s="28"/>
      <c r="J214" s="28"/>
    </row>
    <row r="215" spans="1:31" x14ac:dyDescent="0.25">
      <c r="A215" s="3" t="s">
        <v>67</v>
      </c>
    </row>
    <row r="217" spans="1:31" x14ac:dyDescent="0.25">
      <c r="B217" s="31"/>
    </row>
    <row r="218" spans="1:31" x14ac:dyDescent="0.25">
      <c r="C218" s="20" t="s">
        <v>71</v>
      </c>
      <c r="D218" s="20" t="s">
        <v>72</v>
      </c>
      <c r="G218" s="20"/>
      <c r="H218" s="20" t="s">
        <v>73</v>
      </c>
      <c r="I218" s="20"/>
      <c r="J218" s="20" t="s">
        <v>99</v>
      </c>
      <c r="R218" s="70" t="s">
        <v>149</v>
      </c>
      <c r="S218" s="70"/>
      <c r="T218" s="70"/>
      <c r="U218" s="70"/>
      <c r="V218" s="70"/>
      <c r="W218" s="70"/>
      <c r="X218" s="70"/>
      <c r="Y218" s="70"/>
      <c r="Z218" s="70"/>
      <c r="AA218" s="70"/>
      <c r="AB218" s="70"/>
      <c r="AC218" s="70"/>
      <c r="AD218" s="70"/>
      <c r="AE218" s="70"/>
    </row>
    <row r="219" spans="1:31" x14ac:dyDescent="0.25">
      <c r="A219" s="20" t="s">
        <v>0</v>
      </c>
      <c r="B219" s="20" t="s">
        <v>62</v>
      </c>
      <c r="C219" s="20" t="s">
        <v>61</v>
      </c>
      <c r="D219" s="20" t="s">
        <v>61</v>
      </c>
      <c r="F219" s="20"/>
      <c r="G219" s="20" t="s">
        <v>9</v>
      </c>
      <c r="H219" s="20" t="s">
        <v>9</v>
      </c>
      <c r="I219" s="20" t="s">
        <v>98</v>
      </c>
      <c r="J219" s="20" t="s">
        <v>98</v>
      </c>
      <c r="K219" s="20" t="s">
        <v>43</v>
      </c>
      <c r="L219" s="20" t="s">
        <v>11</v>
      </c>
      <c r="M219" s="20" t="s">
        <v>18</v>
      </c>
      <c r="N219" s="20" t="s">
        <v>76</v>
      </c>
      <c r="R219" s="40" t="s">
        <v>0</v>
      </c>
      <c r="S219" s="40" t="s">
        <v>61</v>
      </c>
      <c r="T219" s="39" t="s">
        <v>61</v>
      </c>
      <c r="U219" s="39" t="s">
        <v>61</v>
      </c>
      <c r="V219" s="40" t="s">
        <v>131</v>
      </c>
      <c r="W219" s="39"/>
      <c r="X219" s="40" t="s">
        <v>130</v>
      </c>
      <c r="Y219" s="39" t="s">
        <v>9</v>
      </c>
      <c r="Z219" s="40" t="s">
        <v>98</v>
      </c>
      <c r="AA219" s="39" t="s">
        <v>98</v>
      </c>
      <c r="AB219" s="40" t="s">
        <v>43</v>
      </c>
      <c r="AC219" s="40" t="s">
        <v>11</v>
      </c>
      <c r="AD219" s="40" t="s">
        <v>18</v>
      </c>
      <c r="AE219" s="40" t="s">
        <v>76</v>
      </c>
    </row>
    <row r="220" spans="1:31" x14ac:dyDescent="0.25">
      <c r="A220" s="2" t="s">
        <v>1</v>
      </c>
      <c r="B220" s="2" t="s">
        <v>70</v>
      </c>
      <c r="C220" s="2" t="s">
        <v>68</v>
      </c>
      <c r="D220" s="2" t="s">
        <v>68</v>
      </c>
      <c r="E220" s="2" t="s">
        <v>4</v>
      </c>
      <c r="F220" s="2" t="s">
        <v>69</v>
      </c>
      <c r="G220" s="2" t="s">
        <v>5</v>
      </c>
      <c r="H220" s="2" t="s">
        <v>5</v>
      </c>
      <c r="I220" s="2" t="s">
        <v>5</v>
      </c>
      <c r="J220" s="2" t="s">
        <v>5</v>
      </c>
      <c r="K220" s="2" t="s">
        <v>44</v>
      </c>
      <c r="L220" s="2" t="s">
        <v>44</v>
      </c>
      <c r="M220" s="2" t="s">
        <v>44</v>
      </c>
      <c r="N220" s="2" t="s">
        <v>44</v>
      </c>
      <c r="R220" s="41" t="s">
        <v>1</v>
      </c>
      <c r="S220" s="41" t="s">
        <v>3</v>
      </c>
      <c r="T220" s="39" t="s">
        <v>68</v>
      </c>
      <c r="U220" s="39" t="s">
        <v>68</v>
      </c>
      <c r="V220" s="41" t="s">
        <v>4</v>
      </c>
      <c r="W220" s="39" t="s">
        <v>69</v>
      </c>
      <c r="X220" s="41" t="s">
        <v>5</v>
      </c>
      <c r="Y220" s="39" t="s">
        <v>5</v>
      </c>
      <c r="Z220" s="41" t="s">
        <v>5</v>
      </c>
      <c r="AA220" s="39" t="s">
        <v>5</v>
      </c>
      <c r="AB220" s="41" t="s">
        <v>44</v>
      </c>
      <c r="AC220" s="41" t="s">
        <v>44</v>
      </c>
      <c r="AD220" s="41" t="s">
        <v>44</v>
      </c>
      <c r="AE220" s="41" t="s">
        <v>44</v>
      </c>
    </row>
    <row r="221" spans="1:31" x14ac:dyDescent="0.25">
      <c r="A221" s="20"/>
      <c r="R221" s="41"/>
      <c r="S221" s="41"/>
      <c r="T221" s="41"/>
      <c r="U221" s="41"/>
      <c r="V221" s="41"/>
      <c r="W221" s="41"/>
      <c r="X221" s="41"/>
      <c r="Y221" s="41"/>
      <c r="Z221" s="41"/>
      <c r="AA221" s="41"/>
      <c r="AB221" s="41"/>
      <c r="AC221" s="41"/>
      <c r="AD221" s="41"/>
      <c r="AE221" s="41"/>
    </row>
    <row r="222" spans="1:31" x14ac:dyDescent="0.25">
      <c r="A222" s="20">
        <v>1</v>
      </c>
      <c r="B222" s="32">
        <f>Input!D60</f>
        <v>0.04</v>
      </c>
      <c r="C222" s="33">
        <v>1</v>
      </c>
      <c r="D222" s="34">
        <f>C223</f>
        <v>0.96153846153846145</v>
      </c>
      <c r="E222" s="24">
        <f>H203*Input!B60</f>
        <v>9000000</v>
      </c>
      <c r="F222" s="24">
        <f>E222*C222</f>
        <v>9000000</v>
      </c>
      <c r="G222" s="24">
        <f>D203*Input!I60</f>
        <v>35000</v>
      </c>
      <c r="H222" s="24">
        <f>C222*G222</f>
        <v>35000</v>
      </c>
      <c r="I222" s="24">
        <f>B204*Input!J39</f>
        <v>630</v>
      </c>
      <c r="J222" s="24">
        <f>I222*D222</f>
        <v>605.76923076923072</v>
      </c>
      <c r="K222" s="24">
        <f>F204*1000</f>
        <v>63000</v>
      </c>
      <c r="L222" s="24">
        <f>G204*Input!N60</f>
        <v>0</v>
      </c>
      <c r="M222" s="24">
        <f t="shared" ref="M222:M231" si="88">K222+L222</f>
        <v>63000</v>
      </c>
      <c r="N222" s="24">
        <f>D222*M222</f>
        <v>60576.923076923071</v>
      </c>
      <c r="R222" s="42">
        <f>A222</f>
        <v>1</v>
      </c>
      <c r="S222" s="43">
        <f t="shared" ref="S222:S231" si="89">B222</f>
        <v>0.04</v>
      </c>
      <c r="T222" s="42">
        <f t="shared" ref="T222:T231" si="90">C222</f>
        <v>1</v>
      </c>
      <c r="U222" s="42">
        <f t="shared" ref="U222:U231" si="91">D222</f>
        <v>0.96153846153846145</v>
      </c>
      <c r="V222" s="44">
        <f t="shared" ref="V222:V231" si="92">E222</f>
        <v>9000000</v>
      </c>
      <c r="W222" s="42">
        <f t="shared" ref="W222:W234" si="93">F222</f>
        <v>9000000</v>
      </c>
      <c r="X222" s="44">
        <f t="shared" ref="X222:X231" si="94">G222</f>
        <v>35000</v>
      </c>
      <c r="Y222" s="42">
        <f t="shared" ref="Y222:Y234" si="95">H222</f>
        <v>35000</v>
      </c>
      <c r="Z222" s="44">
        <f t="shared" ref="Z222:Z231" si="96">I222</f>
        <v>630</v>
      </c>
      <c r="AA222" s="42">
        <f t="shared" ref="AA222:AA234" si="97">J222</f>
        <v>605.76923076923072</v>
      </c>
      <c r="AB222" s="44">
        <f t="shared" ref="AB222:AB231" si="98">K222</f>
        <v>63000</v>
      </c>
      <c r="AC222" s="44">
        <f t="shared" ref="AC222:AC231" si="99">L222</f>
        <v>0</v>
      </c>
      <c r="AD222" s="44">
        <f t="shared" ref="AD222:AD231" si="100">M222</f>
        <v>63000</v>
      </c>
      <c r="AE222" s="44">
        <f t="shared" ref="AE222:AE234" si="101">N222</f>
        <v>60576.923076923071</v>
      </c>
    </row>
    <row r="223" spans="1:31" x14ac:dyDescent="0.25">
      <c r="A223" s="20">
        <v>2</v>
      </c>
      <c r="B223" s="32">
        <f>Input!D61</f>
        <v>0.04</v>
      </c>
      <c r="C223" s="33">
        <f t="shared" ref="C223:C231" si="102">C222/(1+B222)</f>
        <v>0.96153846153846145</v>
      </c>
      <c r="D223" s="33">
        <f t="shared" ref="D223:D231" si="103">D222/(1+B222)</f>
        <v>0.92455621301775137</v>
      </c>
      <c r="E223" s="24">
        <f>H204*Input!B61</f>
        <v>7645180.5</v>
      </c>
      <c r="F223" s="24">
        <f t="shared" ref="F223:F231" si="104">E223*C223</f>
        <v>7351135.0961538451</v>
      </c>
      <c r="G223" s="24">
        <f>D204*Input!I61</f>
        <v>30325.882650000003</v>
      </c>
      <c r="H223" s="24">
        <f t="shared" ref="H223:H231" si="105">C223*G223</f>
        <v>29159.502548076922</v>
      </c>
      <c r="I223" s="24">
        <f>B205*Input!J40</f>
        <v>654.08766500000002</v>
      </c>
      <c r="J223" s="24">
        <f t="shared" ref="J223:J231" si="106">I223*D223</f>
        <v>604.74081453402357</v>
      </c>
      <c r="K223" s="24">
        <f t="shared" ref="K223:K231" si="107">F205*1000</f>
        <v>65408.766499999998</v>
      </c>
      <c r="L223" s="24">
        <f>G205*Input!N61</f>
        <v>1018572.4948019999</v>
      </c>
      <c r="M223" s="24">
        <f t="shared" si="88"/>
        <v>1083981.2613019999</v>
      </c>
      <c r="N223" s="24">
        <f t="shared" ref="N223:N231" si="108">D223*M223</f>
        <v>1002201.6099315826</v>
      </c>
      <c r="R223" s="42">
        <f t="shared" ref="R223:R231" si="109">A223</f>
        <v>2</v>
      </c>
      <c r="S223" s="43">
        <f t="shared" si="89"/>
        <v>0.04</v>
      </c>
      <c r="T223" s="42">
        <f t="shared" si="90"/>
        <v>0.96153846153846145</v>
      </c>
      <c r="U223" s="42">
        <f t="shared" si="91"/>
        <v>0.92455621301775137</v>
      </c>
      <c r="V223" s="44">
        <f t="shared" si="92"/>
        <v>7645180.5</v>
      </c>
      <c r="W223" s="42">
        <f t="shared" si="93"/>
        <v>7351135.0961538451</v>
      </c>
      <c r="X223" s="44">
        <f t="shared" si="94"/>
        <v>30325.882650000003</v>
      </c>
      <c r="Y223" s="42">
        <f t="shared" si="95"/>
        <v>29159.502548076922</v>
      </c>
      <c r="Z223" s="44">
        <f t="shared" si="96"/>
        <v>654.08766500000002</v>
      </c>
      <c r="AA223" s="42">
        <f t="shared" si="97"/>
        <v>604.74081453402357</v>
      </c>
      <c r="AB223" s="44">
        <f t="shared" si="98"/>
        <v>65408.766499999998</v>
      </c>
      <c r="AC223" s="44">
        <f t="shared" si="99"/>
        <v>1018572.4948019999</v>
      </c>
      <c r="AD223" s="44">
        <f t="shared" si="100"/>
        <v>1083981.2613019999</v>
      </c>
      <c r="AE223" s="44">
        <f t="shared" si="101"/>
        <v>1002201.6099315826</v>
      </c>
    </row>
    <row r="224" spans="1:31" x14ac:dyDescent="0.25">
      <c r="A224" s="20">
        <v>3</v>
      </c>
      <c r="B224" s="32">
        <f>Input!D62</f>
        <v>0.04</v>
      </c>
      <c r="C224" s="33">
        <f t="shared" si="102"/>
        <v>0.92455621301775137</v>
      </c>
      <c r="D224" s="33">
        <f t="shared" si="103"/>
        <v>0.88899635867091475</v>
      </c>
      <c r="E224" s="24">
        <f>H205*Input!B62</f>
        <v>6722578.4656932</v>
      </c>
      <c r="F224" s="24">
        <f t="shared" si="104"/>
        <v>6215401.6879559904</v>
      </c>
      <c r="G224" s="24">
        <f>D205*Input!I62</f>
        <v>27199.552472194689</v>
      </c>
      <c r="H224" s="24">
        <f t="shared" si="105"/>
        <v>25147.51522946994</v>
      </c>
      <c r="I224" s="24">
        <f>B206*Input!J41</f>
        <v>739.48363122625199</v>
      </c>
      <c r="J224" s="24">
        <f t="shared" si="106"/>
        <v>657.39825545688359</v>
      </c>
      <c r="K224" s="24">
        <f t="shared" si="107"/>
        <v>73948.363122625189</v>
      </c>
      <c r="L224" s="24">
        <f>G206*Input!N62</f>
        <v>1567048.7263695048</v>
      </c>
      <c r="M224" s="24">
        <f t="shared" si="88"/>
        <v>1640997.0894921301</v>
      </c>
      <c r="N224" s="24">
        <f t="shared" si="108"/>
        <v>1458840.437148073</v>
      </c>
      <c r="R224" s="42">
        <f t="shared" si="109"/>
        <v>3</v>
      </c>
      <c r="S224" s="43">
        <f t="shared" si="89"/>
        <v>0.04</v>
      </c>
      <c r="T224" s="42">
        <f t="shared" si="90"/>
        <v>0.92455621301775137</v>
      </c>
      <c r="U224" s="42">
        <f t="shared" si="91"/>
        <v>0.88899635867091475</v>
      </c>
      <c r="V224" s="44">
        <f t="shared" si="92"/>
        <v>6722578.4656932</v>
      </c>
      <c r="W224" s="42">
        <f t="shared" si="93"/>
        <v>6215401.6879559904</v>
      </c>
      <c r="X224" s="44">
        <f t="shared" si="94"/>
        <v>27199.552472194689</v>
      </c>
      <c r="Y224" s="42">
        <f t="shared" si="95"/>
        <v>25147.51522946994</v>
      </c>
      <c r="Z224" s="44">
        <f t="shared" si="96"/>
        <v>739.48363122625199</v>
      </c>
      <c r="AA224" s="42">
        <f t="shared" si="97"/>
        <v>657.39825545688359</v>
      </c>
      <c r="AB224" s="44">
        <f t="shared" si="98"/>
        <v>73948.363122625189</v>
      </c>
      <c r="AC224" s="44">
        <f t="shared" si="99"/>
        <v>1567048.7263695048</v>
      </c>
      <c r="AD224" s="44">
        <f t="shared" si="100"/>
        <v>1640997.0894921301</v>
      </c>
      <c r="AE224" s="44">
        <f t="shared" si="101"/>
        <v>1458840.437148073</v>
      </c>
    </row>
    <row r="225" spans="1:31" x14ac:dyDescent="0.25">
      <c r="A225" s="20">
        <v>4</v>
      </c>
      <c r="B225" s="32">
        <f>Input!D63</f>
        <v>0.04</v>
      </c>
      <c r="C225" s="33">
        <f t="shared" si="102"/>
        <v>0.88899635867091475</v>
      </c>
      <c r="D225" s="33">
        <f t="shared" si="103"/>
        <v>0.85480419102972571</v>
      </c>
      <c r="E225" s="24">
        <f>H206*Input!B63</f>
        <v>6044330.8017109474</v>
      </c>
      <c r="F225" s="24">
        <f t="shared" si="104"/>
        <v>5373388.0733234836</v>
      </c>
      <c r="G225" s="24">
        <f>D206*Input!I63</f>
        <v>24944.469672196941</v>
      </c>
      <c r="H225" s="24">
        <f t="shared" si="105"/>
        <v>22175.542707560147</v>
      </c>
      <c r="I225" s="24">
        <f>B207*Input!J42</f>
        <v>765.61523488338662</v>
      </c>
      <c r="J225" s="24">
        <f t="shared" si="106"/>
        <v>654.45111149452669</v>
      </c>
      <c r="K225" s="24">
        <f t="shared" si="107"/>
        <v>76561.523488338644</v>
      </c>
      <c r="L225" s="24">
        <f>G207*Input!N63</f>
        <v>1931980.8846710389</v>
      </c>
      <c r="M225" s="24">
        <f t="shared" si="88"/>
        <v>2008542.4081593775</v>
      </c>
      <c r="N225" s="24">
        <f t="shared" si="108"/>
        <v>1716910.4683555739</v>
      </c>
      <c r="R225" s="42">
        <f t="shared" si="109"/>
        <v>4</v>
      </c>
      <c r="S225" s="43">
        <f t="shared" si="89"/>
        <v>0.04</v>
      </c>
      <c r="T225" s="42">
        <f t="shared" si="90"/>
        <v>0.88899635867091475</v>
      </c>
      <c r="U225" s="42">
        <f t="shared" si="91"/>
        <v>0.85480419102972571</v>
      </c>
      <c r="V225" s="44">
        <f t="shared" si="92"/>
        <v>6044330.8017109474</v>
      </c>
      <c r="W225" s="42">
        <f t="shared" si="93"/>
        <v>5373388.0733234836</v>
      </c>
      <c r="X225" s="44">
        <f t="shared" si="94"/>
        <v>24944.469672196941</v>
      </c>
      <c r="Y225" s="42">
        <f t="shared" si="95"/>
        <v>22175.542707560147</v>
      </c>
      <c r="Z225" s="44">
        <f t="shared" si="96"/>
        <v>765.61523488338662</v>
      </c>
      <c r="AA225" s="42">
        <f t="shared" si="97"/>
        <v>654.45111149452669</v>
      </c>
      <c r="AB225" s="44">
        <f t="shared" si="98"/>
        <v>76561.523488338644</v>
      </c>
      <c r="AC225" s="44">
        <f t="shared" si="99"/>
        <v>1931980.8846710389</v>
      </c>
      <c r="AD225" s="44">
        <f t="shared" si="100"/>
        <v>2008542.4081593775</v>
      </c>
      <c r="AE225" s="44">
        <f t="shared" si="101"/>
        <v>1716910.4683555739</v>
      </c>
    </row>
    <row r="226" spans="1:31" x14ac:dyDescent="0.25">
      <c r="A226" s="20">
        <v>5</v>
      </c>
      <c r="B226" s="32">
        <f>Input!D64</f>
        <v>0.04</v>
      </c>
      <c r="C226" s="33">
        <f t="shared" si="102"/>
        <v>0.85480419102972571</v>
      </c>
      <c r="D226" s="33">
        <f t="shared" si="103"/>
        <v>0.82192710675935166</v>
      </c>
      <c r="E226" s="24">
        <f>H207*Input!B64</f>
        <v>5494070.6407832671</v>
      </c>
      <c r="F226" s="24">
        <f t="shared" si="104"/>
        <v>4696354.6095549073</v>
      </c>
      <c r="G226" s="24">
        <f>D207*Input!I64</f>
        <v>23127.061809038503</v>
      </c>
      <c r="H226" s="24">
        <f t="shared" si="105"/>
        <v>19769.109360569622</v>
      </c>
      <c r="I226" s="24">
        <f>B208*Input!J43</f>
        <v>976.7236694725807</v>
      </c>
      <c r="J226" s="24">
        <f t="shared" si="106"/>
        <v>802.79565975297555</v>
      </c>
      <c r="K226" s="24">
        <f t="shared" si="107"/>
        <v>97672.366947258066</v>
      </c>
      <c r="L226" s="24">
        <f>G208*Input!N64</f>
        <v>2096595.9599430629</v>
      </c>
      <c r="M226" s="24">
        <f t="shared" si="88"/>
        <v>2194268.326890321</v>
      </c>
      <c r="N226" s="24">
        <f t="shared" si="108"/>
        <v>1803528.6173746448</v>
      </c>
      <c r="R226" s="42">
        <f t="shared" si="109"/>
        <v>5</v>
      </c>
      <c r="S226" s="43">
        <f t="shared" si="89"/>
        <v>0.04</v>
      </c>
      <c r="T226" s="42">
        <f t="shared" si="90"/>
        <v>0.85480419102972571</v>
      </c>
      <c r="U226" s="42">
        <f t="shared" si="91"/>
        <v>0.82192710675935166</v>
      </c>
      <c r="V226" s="44">
        <f t="shared" si="92"/>
        <v>5494070.6407832671</v>
      </c>
      <c r="W226" s="42">
        <f t="shared" si="93"/>
        <v>4696354.6095549073</v>
      </c>
      <c r="X226" s="44">
        <f t="shared" si="94"/>
        <v>23127.061809038503</v>
      </c>
      <c r="Y226" s="42">
        <f t="shared" si="95"/>
        <v>19769.109360569622</v>
      </c>
      <c r="Z226" s="44">
        <f t="shared" si="96"/>
        <v>976.7236694725807</v>
      </c>
      <c r="AA226" s="42">
        <f t="shared" si="97"/>
        <v>802.79565975297555</v>
      </c>
      <c r="AB226" s="44">
        <f t="shared" si="98"/>
        <v>97672.366947258066</v>
      </c>
      <c r="AC226" s="44">
        <f t="shared" si="99"/>
        <v>2096595.9599430629</v>
      </c>
      <c r="AD226" s="44">
        <f t="shared" si="100"/>
        <v>2194268.326890321</v>
      </c>
      <c r="AE226" s="44">
        <f t="shared" si="101"/>
        <v>1803528.6173746448</v>
      </c>
    </row>
    <row r="227" spans="1:31" x14ac:dyDescent="0.25">
      <c r="A227" s="20">
        <v>6</v>
      </c>
      <c r="B227" s="32">
        <f>Input!D65</f>
        <v>0.04</v>
      </c>
      <c r="C227" s="33">
        <f t="shared" si="102"/>
        <v>0.82192710675935166</v>
      </c>
      <c r="D227" s="33">
        <f t="shared" si="103"/>
        <v>0.79031452573014582</v>
      </c>
      <c r="E227" s="24">
        <f>H208*Input!B65</f>
        <v>5046457.7175373733</v>
      </c>
      <c r="F227" s="24">
        <f t="shared" si="104"/>
        <v>4147820.3911588946</v>
      </c>
      <c r="G227" s="24">
        <f>D208*Input!I65</f>
        <v>21667.710905919172</v>
      </c>
      <c r="H227" s="24">
        <f t="shared" si="105"/>
        <v>17809.278935000195</v>
      </c>
      <c r="I227" s="24">
        <f>B209*Input!J44</f>
        <v>824.25476053110413</v>
      </c>
      <c r="J227" s="24">
        <f t="shared" si="106"/>
        <v>651.42051014995445</v>
      </c>
      <c r="K227" s="24">
        <f t="shared" si="107"/>
        <v>82425.476053110411</v>
      </c>
      <c r="L227" s="24">
        <f>G209*Input!N65</f>
        <v>2116396.5583708896</v>
      </c>
      <c r="M227" s="24">
        <f t="shared" si="88"/>
        <v>2198822.034424</v>
      </c>
      <c r="N227" s="24">
        <f t="shared" si="108"/>
        <v>1737760.9933007979</v>
      </c>
      <c r="R227" s="42">
        <f t="shared" si="109"/>
        <v>6</v>
      </c>
      <c r="S227" s="43">
        <f t="shared" si="89"/>
        <v>0.04</v>
      </c>
      <c r="T227" s="42">
        <f t="shared" si="90"/>
        <v>0.82192710675935166</v>
      </c>
      <c r="U227" s="42">
        <f t="shared" si="91"/>
        <v>0.79031452573014582</v>
      </c>
      <c r="V227" s="44">
        <f t="shared" si="92"/>
        <v>5046457.7175373733</v>
      </c>
      <c r="W227" s="42">
        <f t="shared" si="93"/>
        <v>4147820.3911588946</v>
      </c>
      <c r="X227" s="44">
        <f t="shared" si="94"/>
        <v>21667.710905919172</v>
      </c>
      <c r="Y227" s="42">
        <f t="shared" si="95"/>
        <v>17809.278935000195</v>
      </c>
      <c r="Z227" s="44">
        <f t="shared" si="96"/>
        <v>824.25476053110413</v>
      </c>
      <c r="AA227" s="42">
        <f t="shared" si="97"/>
        <v>651.42051014995445</v>
      </c>
      <c r="AB227" s="44">
        <f t="shared" si="98"/>
        <v>82425.476053110411</v>
      </c>
      <c r="AC227" s="44">
        <f t="shared" si="99"/>
        <v>2116396.5583708896</v>
      </c>
      <c r="AD227" s="44">
        <f t="shared" si="100"/>
        <v>2198822.034424</v>
      </c>
      <c r="AE227" s="44">
        <f t="shared" si="101"/>
        <v>1737760.9933007979</v>
      </c>
    </row>
    <row r="228" spans="1:31" x14ac:dyDescent="0.25">
      <c r="A228" s="20">
        <v>7</v>
      </c>
      <c r="B228" s="32">
        <f>Input!D66</f>
        <v>0.04</v>
      </c>
      <c r="C228" s="33">
        <f t="shared" si="102"/>
        <v>0.79031452573014582</v>
      </c>
      <c r="D228" s="33">
        <f t="shared" si="103"/>
        <v>0.75991781320206331</v>
      </c>
      <c r="E228" s="24">
        <f>H209*Input!B66</f>
        <v>4686306.6649641115</v>
      </c>
      <c r="F228" s="24">
        <f t="shared" si="104"/>
        <v>3703656.2293471331</v>
      </c>
      <c r="G228" s="24">
        <f>D209*Input!I66</f>
        <v>20523.776199223859</v>
      </c>
      <c r="H228" s="24">
        <f t="shared" si="105"/>
        <v>16220.23845308126</v>
      </c>
      <c r="I228" s="24">
        <f>B210*Input!J45</f>
        <v>863.84252857505123</v>
      </c>
      <c r="J228" s="24">
        <f t="shared" si="106"/>
        <v>656.4493252656938</v>
      </c>
      <c r="K228" s="24">
        <f t="shared" si="107"/>
        <v>86384.252857505126</v>
      </c>
      <c r="L228" s="24">
        <f>G210*Input!N66</f>
        <v>2027363.9022896718</v>
      </c>
      <c r="M228" s="24">
        <f t="shared" si="88"/>
        <v>2113748.1551471772</v>
      </c>
      <c r="N228" s="24">
        <f t="shared" si="108"/>
        <v>1606274.8757193384</v>
      </c>
      <c r="R228" s="42">
        <f t="shared" si="109"/>
        <v>7</v>
      </c>
      <c r="S228" s="43">
        <f t="shared" si="89"/>
        <v>0.04</v>
      </c>
      <c r="T228" s="42">
        <f t="shared" si="90"/>
        <v>0.79031452573014582</v>
      </c>
      <c r="U228" s="42">
        <f t="shared" si="91"/>
        <v>0.75991781320206331</v>
      </c>
      <c r="V228" s="44">
        <f t="shared" si="92"/>
        <v>4686306.6649641115</v>
      </c>
      <c r="W228" s="42">
        <f t="shared" si="93"/>
        <v>3703656.2293471331</v>
      </c>
      <c r="X228" s="44">
        <f t="shared" si="94"/>
        <v>20523.776199223859</v>
      </c>
      <c r="Y228" s="42">
        <f t="shared" si="95"/>
        <v>16220.23845308126</v>
      </c>
      <c r="Z228" s="44">
        <f t="shared" si="96"/>
        <v>863.84252857505123</v>
      </c>
      <c r="AA228" s="42">
        <f t="shared" si="97"/>
        <v>656.4493252656938</v>
      </c>
      <c r="AB228" s="44">
        <f t="shared" si="98"/>
        <v>86384.252857505126</v>
      </c>
      <c r="AC228" s="44">
        <f t="shared" si="99"/>
        <v>2027363.9022896718</v>
      </c>
      <c r="AD228" s="44">
        <f t="shared" si="100"/>
        <v>2113748.1551471772</v>
      </c>
      <c r="AE228" s="44">
        <f t="shared" si="101"/>
        <v>1606274.8757193384</v>
      </c>
    </row>
    <row r="229" spans="1:31" x14ac:dyDescent="0.25">
      <c r="A229" s="20">
        <v>8</v>
      </c>
      <c r="B229" s="32">
        <f>Input!D67</f>
        <v>0.04</v>
      </c>
      <c r="C229" s="33">
        <f t="shared" si="102"/>
        <v>0.75991781320206331</v>
      </c>
      <c r="D229" s="33">
        <f t="shared" si="103"/>
        <v>0.73069020500198389</v>
      </c>
      <c r="E229" s="24">
        <f>H210*Input!B67</f>
        <v>4397820.15727452</v>
      </c>
      <c r="F229" s="24">
        <f t="shared" si="104"/>
        <v>3341981.8767720074</v>
      </c>
      <c r="G229" s="24">
        <f>D210*Input!I67</f>
        <v>19645.550491623559</v>
      </c>
      <c r="H229" s="24">
        <f t="shared" si="105"/>
        <v>14929.003768745295</v>
      </c>
      <c r="I229" s="24">
        <f>B211*Input!J46</f>
        <v>913.28065266067517</v>
      </c>
      <c r="J229" s="24">
        <f t="shared" si="106"/>
        <v>667.32522731697441</v>
      </c>
      <c r="K229" s="24">
        <f t="shared" si="107"/>
        <v>91328.065266067511</v>
      </c>
      <c r="L229" s="24">
        <f>G211*Input!N67</f>
        <v>1853386.9332580201</v>
      </c>
      <c r="M229" s="24">
        <f t="shared" si="88"/>
        <v>1944714.9985240875</v>
      </c>
      <c r="N229" s="24">
        <f t="shared" si="108"/>
        <v>1420984.2009419983</v>
      </c>
      <c r="R229" s="42">
        <f t="shared" si="109"/>
        <v>8</v>
      </c>
      <c r="S229" s="43">
        <f t="shared" si="89"/>
        <v>0.04</v>
      </c>
      <c r="T229" s="42">
        <f t="shared" si="90"/>
        <v>0.75991781320206331</v>
      </c>
      <c r="U229" s="42">
        <f t="shared" si="91"/>
        <v>0.73069020500198389</v>
      </c>
      <c r="V229" s="44">
        <f t="shared" si="92"/>
        <v>4397820.15727452</v>
      </c>
      <c r="W229" s="42">
        <f t="shared" si="93"/>
        <v>3341981.8767720074</v>
      </c>
      <c r="X229" s="44">
        <f t="shared" si="94"/>
        <v>19645.550491623559</v>
      </c>
      <c r="Y229" s="42">
        <f t="shared" si="95"/>
        <v>14929.003768745295</v>
      </c>
      <c r="Z229" s="44">
        <f t="shared" si="96"/>
        <v>913.28065266067517</v>
      </c>
      <c r="AA229" s="42">
        <f t="shared" si="97"/>
        <v>667.32522731697441</v>
      </c>
      <c r="AB229" s="44">
        <f t="shared" si="98"/>
        <v>91328.065266067511</v>
      </c>
      <c r="AC229" s="44">
        <f t="shared" si="99"/>
        <v>1853386.9332580201</v>
      </c>
      <c r="AD229" s="44">
        <f t="shared" si="100"/>
        <v>1944714.9985240875</v>
      </c>
      <c r="AE229" s="44">
        <f t="shared" si="101"/>
        <v>1420984.2009419983</v>
      </c>
    </row>
    <row r="230" spans="1:31" x14ac:dyDescent="0.25">
      <c r="A230" s="20">
        <v>9</v>
      </c>
      <c r="B230" s="32">
        <f>Input!D68</f>
        <v>0.04</v>
      </c>
      <c r="C230" s="33">
        <f t="shared" si="102"/>
        <v>0.73069020500198389</v>
      </c>
      <c r="D230" s="33">
        <f t="shared" si="103"/>
        <v>0.70258673557883067</v>
      </c>
      <c r="E230" s="24">
        <f>H211*Input!B68</f>
        <v>4170120.5998305455</v>
      </c>
      <c r="F230" s="24">
        <f t="shared" si="104"/>
        <v>3047066.2759731775</v>
      </c>
      <c r="G230" s="24">
        <f>D211*Input!I68</f>
        <v>19000.959136064317</v>
      </c>
      <c r="H230" s="24">
        <f t="shared" si="105"/>
        <v>13883.814726365155</v>
      </c>
      <c r="I230" s="24">
        <f>B212*Input!J47</f>
        <v>977.89328066026269</v>
      </c>
      <c r="J230" s="24">
        <f t="shared" si="106"/>
        <v>687.05484780356721</v>
      </c>
      <c r="K230" s="24">
        <f t="shared" si="107"/>
        <v>97789.328066026268</v>
      </c>
      <c r="L230" s="24">
        <f>G212*Input!N68</f>
        <v>1609043.5633177795</v>
      </c>
      <c r="M230" s="24">
        <f t="shared" si="88"/>
        <v>1706832.8913838058</v>
      </c>
      <c r="N230" s="24">
        <f t="shared" si="108"/>
        <v>1199198.149335925</v>
      </c>
      <c r="R230" s="42">
        <f t="shared" si="109"/>
        <v>9</v>
      </c>
      <c r="S230" s="43">
        <f t="shared" si="89"/>
        <v>0.04</v>
      </c>
      <c r="T230" s="42">
        <f t="shared" si="90"/>
        <v>0.73069020500198389</v>
      </c>
      <c r="U230" s="42">
        <f t="shared" si="91"/>
        <v>0.70258673557883067</v>
      </c>
      <c r="V230" s="44">
        <f t="shared" si="92"/>
        <v>4170120.5998305455</v>
      </c>
      <c r="W230" s="42">
        <f t="shared" si="93"/>
        <v>3047066.2759731775</v>
      </c>
      <c r="X230" s="44">
        <f t="shared" si="94"/>
        <v>19000.959136064317</v>
      </c>
      <c r="Y230" s="42">
        <f t="shared" si="95"/>
        <v>13883.814726365155</v>
      </c>
      <c r="Z230" s="44">
        <f t="shared" si="96"/>
        <v>977.89328066026269</v>
      </c>
      <c r="AA230" s="42">
        <f t="shared" si="97"/>
        <v>687.05484780356721</v>
      </c>
      <c r="AB230" s="44">
        <f t="shared" si="98"/>
        <v>97789.328066026268</v>
      </c>
      <c r="AC230" s="44">
        <f t="shared" si="99"/>
        <v>1609043.5633177795</v>
      </c>
      <c r="AD230" s="44">
        <f t="shared" si="100"/>
        <v>1706832.8913838058</v>
      </c>
      <c r="AE230" s="44">
        <f t="shared" si="101"/>
        <v>1199198.149335925</v>
      </c>
    </row>
    <row r="231" spans="1:31" x14ac:dyDescent="0.25">
      <c r="A231" s="20">
        <v>10</v>
      </c>
      <c r="B231" s="32">
        <f>Input!D69</f>
        <v>0.04</v>
      </c>
      <c r="C231" s="33">
        <f t="shared" si="102"/>
        <v>0.70258673557883067</v>
      </c>
      <c r="D231" s="33">
        <f t="shared" si="103"/>
        <v>0.67556416882579873</v>
      </c>
      <c r="E231" s="24">
        <f>H212*Input!B69</f>
        <v>3994866.7778924187</v>
      </c>
      <c r="F231" s="24">
        <f t="shared" si="104"/>
        <v>2806740.4085517558</v>
      </c>
      <c r="G231" s="24">
        <f>D212*Input!I69</f>
        <v>18566.471773482055</v>
      </c>
      <c r="H231" s="24">
        <f t="shared" si="105"/>
        <v>13044.556794547259</v>
      </c>
      <c r="I231" s="24">
        <f>B213*Input!J48</f>
        <v>1043.9918512892186</v>
      </c>
      <c r="J231" s="24">
        <f t="shared" si="106"/>
        <v>705.28348727710784</v>
      </c>
      <c r="K231" s="24">
        <f t="shared" si="107"/>
        <v>104399.18512892186</v>
      </c>
      <c r="L231" s="24">
        <f>G213*Input!N69</f>
        <v>44283009.45812016</v>
      </c>
      <c r="M231" s="24">
        <f t="shared" si="88"/>
        <v>44387408.64324908</v>
      </c>
      <c r="N231" s="24">
        <f t="shared" si="108"/>
        <v>29986542.826407637</v>
      </c>
      <c r="R231" s="42">
        <f t="shared" si="109"/>
        <v>10</v>
      </c>
      <c r="S231" s="43">
        <f t="shared" si="89"/>
        <v>0.04</v>
      </c>
      <c r="T231" s="42">
        <f t="shared" si="90"/>
        <v>0.70258673557883067</v>
      </c>
      <c r="U231" s="42">
        <f t="shared" si="91"/>
        <v>0.67556416882579873</v>
      </c>
      <c r="V231" s="44">
        <f t="shared" si="92"/>
        <v>3994866.7778924187</v>
      </c>
      <c r="W231" s="42">
        <f t="shared" si="93"/>
        <v>2806740.4085517558</v>
      </c>
      <c r="X231" s="44">
        <f t="shared" si="94"/>
        <v>18566.471773482055</v>
      </c>
      <c r="Y231" s="42">
        <f t="shared" si="95"/>
        <v>13044.556794547259</v>
      </c>
      <c r="Z231" s="44">
        <f t="shared" si="96"/>
        <v>1043.9918512892186</v>
      </c>
      <c r="AA231" s="42">
        <f t="shared" si="97"/>
        <v>705.28348727710784</v>
      </c>
      <c r="AB231" s="44">
        <f t="shared" si="98"/>
        <v>104399.18512892186</v>
      </c>
      <c r="AC231" s="44">
        <f t="shared" si="99"/>
        <v>44283009.45812016</v>
      </c>
      <c r="AD231" s="44">
        <f t="shared" si="100"/>
        <v>44387408.64324908</v>
      </c>
      <c r="AE231" s="44">
        <f t="shared" si="101"/>
        <v>29986542.826407637</v>
      </c>
    </row>
    <row r="232" spans="1:31" x14ac:dyDescent="0.25">
      <c r="B232" s="28"/>
      <c r="C232" s="28"/>
      <c r="D232" s="28"/>
      <c r="F232" s="24"/>
      <c r="G232" s="28"/>
      <c r="H232" s="28"/>
      <c r="I232" s="28"/>
      <c r="J232" s="28"/>
      <c r="R232" s="45"/>
      <c r="S232" s="45"/>
      <c r="T232" s="45"/>
      <c r="U232" s="45"/>
      <c r="V232" s="45"/>
      <c r="W232" s="45">
        <f t="shared" si="93"/>
        <v>0</v>
      </c>
      <c r="X232" s="45"/>
      <c r="Y232" s="45">
        <f t="shared" si="95"/>
        <v>0</v>
      </c>
      <c r="Z232" s="46"/>
      <c r="AA232" s="45">
        <f t="shared" si="97"/>
        <v>0</v>
      </c>
      <c r="AB232" s="47"/>
      <c r="AC232" s="47"/>
      <c r="AD232" s="47"/>
      <c r="AE232" s="47">
        <f t="shared" si="101"/>
        <v>0</v>
      </c>
    </row>
    <row r="233" spans="1:31" x14ac:dyDescent="0.25">
      <c r="A233" s="20" t="s">
        <v>77</v>
      </c>
      <c r="B233" s="28"/>
      <c r="C233" s="28"/>
      <c r="D233" s="28"/>
      <c r="F233" s="24">
        <f>SUM(F222:F232)</f>
        <v>49683544.648791194</v>
      </c>
      <c r="G233" s="28"/>
      <c r="H233" s="24">
        <f>SUM(H222:H232)</f>
        <v>207138.56252341578</v>
      </c>
      <c r="I233" s="24"/>
      <c r="J233" s="24">
        <f>SUM(J222:J232)</f>
        <v>6692.6884698209387</v>
      </c>
      <c r="N233" s="35">
        <f>SUM(N222:N232)</f>
        <v>41992819.101592496</v>
      </c>
      <c r="R233" s="73" t="s">
        <v>132</v>
      </c>
      <c r="S233" s="75"/>
      <c r="T233" s="48"/>
      <c r="U233" s="48"/>
      <c r="V233" s="44">
        <f>W233</f>
        <v>49683544.648791194</v>
      </c>
      <c r="W233" s="48">
        <f t="shared" si="93"/>
        <v>49683544.648791194</v>
      </c>
      <c r="X233" s="44">
        <f>Y233</f>
        <v>207138.56252341578</v>
      </c>
      <c r="Y233" s="42">
        <f t="shared" si="95"/>
        <v>207138.56252341578</v>
      </c>
      <c r="Z233" s="44">
        <f>AA233</f>
        <v>6692.6884698209387</v>
      </c>
      <c r="AA233" s="42">
        <f t="shared" si="97"/>
        <v>6692.6884698209387</v>
      </c>
      <c r="AB233" s="49"/>
      <c r="AC233" s="49"/>
      <c r="AD233" s="44">
        <f>AE233</f>
        <v>41992819.101592496</v>
      </c>
      <c r="AE233" s="44">
        <f t="shared" si="101"/>
        <v>41992819.101592496</v>
      </c>
    </row>
    <row r="234" spans="1:31" x14ac:dyDescent="0.25">
      <c r="A234" s="13" t="s">
        <v>78</v>
      </c>
      <c r="B234" s="28"/>
      <c r="C234" s="28"/>
      <c r="D234" s="28"/>
      <c r="G234" s="28"/>
      <c r="H234" s="23">
        <f>H233/F233</f>
        <v>4.1691582995468796E-3</v>
      </c>
      <c r="I234" s="23"/>
      <c r="J234" s="19">
        <f>J233/F233</f>
        <v>1.3470634024063686E-4</v>
      </c>
      <c r="K234" s="28"/>
      <c r="L234" s="28"/>
      <c r="N234" s="23">
        <f>N233/F233</f>
        <v>0.84520577987010004</v>
      </c>
      <c r="R234" s="73" t="s">
        <v>129</v>
      </c>
      <c r="S234" s="74"/>
      <c r="T234" s="74"/>
      <c r="U234" s="74"/>
      <c r="V234" s="75"/>
      <c r="W234" s="48">
        <f t="shared" si="93"/>
        <v>0</v>
      </c>
      <c r="X234" s="50">
        <f>Y234</f>
        <v>4.1691582995468796E-3</v>
      </c>
      <c r="Y234" s="51">
        <f t="shared" si="95"/>
        <v>4.1691582995468796E-3</v>
      </c>
      <c r="Z234" s="50">
        <f>AA234</f>
        <v>1.3470634024063686E-4</v>
      </c>
      <c r="AA234" s="52">
        <f t="shared" si="97"/>
        <v>1.3470634024063686E-4</v>
      </c>
      <c r="AB234" s="42"/>
      <c r="AC234" s="42"/>
      <c r="AD234" s="51">
        <f>AE234</f>
        <v>0.84520577987010004</v>
      </c>
      <c r="AE234" s="53">
        <f t="shared" si="101"/>
        <v>0.84520577987010004</v>
      </c>
    </row>
    <row r="235" spans="1:31" x14ac:dyDescent="0.25">
      <c r="B235" s="28"/>
      <c r="C235" s="28"/>
      <c r="D235" s="28"/>
      <c r="E235" s="28"/>
      <c r="F235" s="28"/>
      <c r="G235" s="28"/>
      <c r="H235" s="28"/>
      <c r="I235" s="28"/>
      <c r="J235" s="28"/>
    </row>
    <row r="236" spans="1:31" x14ac:dyDescent="0.25">
      <c r="A236" s="13" t="s">
        <v>79</v>
      </c>
      <c r="B236" s="28"/>
      <c r="C236" s="28"/>
      <c r="D236" s="28"/>
      <c r="E236" s="28"/>
      <c r="F236" s="30">
        <f>J234+N234</f>
        <v>0.84534048621034064</v>
      </c>
      <c r="G236" s="28"/>
      <c r="H236" s="28"/>
      <c r="I236" s="28"/>
      <c r="J236" s="28"/>
    </row>
    <row r="237" spans="1:31" x14ac:dyDescent="0.25">
      <c r="B237" s="28"/>
      <c r="C237" s="28"/>
      <c r="D237" s="28"/>
      <c r="E237" s="28"/>
      <c r="F237" s="28"/>
      <c r="G237" s="28"/>
      <c r="H237" s="28"/>
      <c r="I237" s="28"/>
      <c r="J237" s="28"/>
    </row>
    <row r="238" spans="1:31" x14ac:dyDescent="0.25">
      <c r="A238" s="3" t="s">
        <v>80</v>
      </c>
      <c r="B238" s="28"/>
      <c r="C238" s="28"/>
      <c r="D238" s="28"/>
      <c r="E238" s="28"/>
      <c r="F238" s="28"/>
      <c r="G238" s="28"/>
      <c r="H238" s="28" t="s">
        <v>100</v>
      </c>
      <c r="I238" s="28"/>
      <c r="J238" s="28"/>
    </row>
    <row r="239" spans="1:31" x14ac:dyDescent="0.25">
      <c r="B239" s="28"/>
      <c r="C239" s="28"/>
      <c r="D239" s="28"/>
      <c r="E239" s="28"/>
      <c r="F239" s="28"/>
      <c r="G239" s="28"/>
      <c r="H239" s="28"/>
      <c r="I239" s="28"/>
      <c r="J239" s="28"/>
    </row>
    <row r="240" spans="1:31" x14ac:dyDescent="0.25">
      <c r="C240" s="20"/>
      <c r="D240" s="20"/>
      <c r="G240" s="20"/>
      <c r="H240" s="20"/>
      <c r="I240" s="20"/>
      <c r="J240" s="20"/>
    </row>
    <row r="241" spans="1:22" x14ac:dyDescent="0.25">
      <c r="A241" s="20" t="s">
        <v>0</v>
      </c>
      <c r="B241" s="20"/>
      <c r="C241" s="20" t="s">
        <v>82</v>
      </c>
      <c r="D241" s="20" t="s">
        <v>18</v>
      </c>
      <c r="E241" s="20" t="s">
        <v>98</v>
      </c>
      <c r="F241" s="20" t="s">
        <v>83</v>
      </c>
      <c r="G241" s="20"/>
      <c r="H241" s="20" t="s">
        <v>101</v>
      </c>
      <c r="I241" s="20" t="s">
        <v>102</v>
      </c>
      <c r="J241" s="20" t="s">
        <v>102</v>
      </c>
      <c r="K241" s="20" t="s">
        <v>104</v>
      </c>
      <c r="L241" s="20" t="s">
        <v>105</v>
      </c>
      <c r="M241" s="20"/>
      <c r="N241" s="20"/>
      <c r="R241" s="76" t="s">
        <v>150</v>
      </c>
      <c r="S241" s="76"/>
      <c r="T241" s="76"/>
      <c r="U241" s="76"/>
      <c r="V241" s="76"/>
    </row>
    <row r="242" spans="1:22" x14ac:dyDescent="0.25">
      <c r="A242" s="2" t="s">
        <v>1</v>
      </c>
      <c r="B242" s="2" t="s">
        <v>81</v>
      </c>
      <c r="C242" s="2" t="s">
        <v>64</v>
      </c>
      <c r="D242" s="2" t="s">
        <v>44</v>
      </c>
      <c r="E242" s="2" t="s">
        <v>37</v>
      </c>
      <c r="F242" s="2" t="s">
        <v>62</v>
      </c>
      <c r="G242" s="2"/>
      <c r="H242" s="2" t="s">
        <v>1</v>
      </c>
      <c r="I242" s="2" t="s">
        <v>103</v>
      </c>
      <c r="J242" s="2" t="s">
        <v>44</v>
      </c>
      <c r="K242" s="2" t="s">
        <v>37</v>
      </c>
      <c r="L242" s="2" t="s">
        <v>62</v>
      </c>
      <c r="M242" s="2"/>
      <c r="N242" s="2"/>
      <c r="R242" s="40" t="s">
        <v>101</v>
      </c>
      <c r="S242" s="40" t="s">
        <v>102</v>
      </c>
      <c r="T242" s="40" t="s">
        <v>102</v>
      </c>
      <c r="U242" s="40" t="s">
        <v>104</v>
      </c>
      <c r="V242" s="40" t="s">
        <v>141</v>
      </c>
    </row>
    <row r="243" spans="1:22" x14ac:dyDescent="0.25">
      <c r="A243" s="20"/>
      <c r="F243" s="24">
        <v>0</v>
      </c>
      <c r="H243" s="20">
        <v>0</v>
      </c>
      <c r="I243" s="24">
        <f>NPV($B$33,B244:B$254)*(1+$B$33)</f>
        <v>41999511.790062316</v>
      </c>
      <c r="J243" s="24">
        <f>NPV($B$33,D244:D$254)</f>
        <v>-41992819.101592489</v>
      </c>
      <c r="K243" s="24">
        <f>NPV($B$33,E244:E$254)</f>
        <v>-6692.6884698209378</v>
      </c>
      <c r="L243" s="24">
        <f>F243</f>
        <v>0</v>
      </c>
      <c r="R243" s="41" t="s">
        <v>1</v>
      </c>
      <c r="S243" s="41" t="s">
        <v>103</v>
      </c>
      <c r="T243" s="41" t="s">
        <v>44</v>
      </c>
      <c r="U243" s="41" t="s">
        <v>37</v>
      </c>
      <c r="V243" s="41" t="s">
        <v>139</v>
      </c>
    </row>
    <row r="244" spans="1:22" x14ac:dyDescent="0.25">
      <c r="A244" s="20">
        <v>1</v>
      </c>
      <c r="B244" s="24">
        <f>F$236*E222</f>
        <v>7608064.3758930657</v>
      </c>
      <c r="C244" s="22">
        <f>B222*(F243+B244)</f>
        <v>304322.57503572264</v>
      </c>
      <c r="D244" s="24">
        <f>-M222</f>
        <v>-63000</v>
      </c>
      <c r="E244" s="24">
        <f>-I222</f>
        <v>-630</v>
      </c>
      <c r="F244" s="24">
        <f>F243+SUM(B244:E244)</f>
        <v>7848756.9509287886</v>
      </c>
      <c r="G244" s="35"/>
      <c r="H244" s="20">
        <v>1</v>
      </c>
      <c r="I244" s="24">
        <f>NPV($B$33,B245:B$254)*(1+$B$33)</f>
        <v>35767105.310736015</v>
      </c>
      <c r="J244" s="24">
        <f>NPV($B$33,D245:D$254)</f>
        <v>-43609531.86565619</v>
      </c>
      <c r="K244" s="24">
        <f>NPV($B$33,E245:E$254)</f>
        <v>-6330.3960086137758</v>
      </c>
      <c r="L244" s="24">
        <f>-SUM(I244:K244)</f>
        <v>7848756.9509287877</v>
      </c>
      <c r="M244" s="24"/>
      <c r="N244" s="24"/>
      <c r="R244" s="54">
        <f>H244</f>
        <v>1</v>
      </c>
      <c r="S244" s="55">
        <f t="shared" ref="S244:S253" si="110">I244</f>
        <v>35767105.310736015</v>
      </c>
      <c r="T244" s="55">
        <f t="shared" ref="T244:T253" si="111">J244</f>
        <v>-43609531.86565619</v>
      </c>
      <c r="U244" s="55">
        <f t="shared" ref="U244:U253" si="112">K244</f>
        <v>-6330.3960086137758</v>
      </c>
      <c r="V244" s="55">
        <f t="shared" ref="V244:V253" si="113">L244</f>
        <v>7848756.9509287877</v>
      </c>
    </row>
    <row r="245" spans="1:22" x14ac:dyDescent="0.25">
      <c r="A245" s="20">
        <v>2</v>
      </c>
      <c r="B245" s="24">
        <f t="shared" ref="B245:B253" si="114">F$236*E223</f>
        <v>6462780.6010358147</v>
      </c>
      <c r="C245" s="22">
        <f t="shared" ref="C245:C253" si="115">B223*(F244+B245)</f>
        <v>572461.50207858416</v>
      </c>
      <c r="D245" s="24">
        <f t="shared" ref="D245:D253" si="116">-M223</f>
        <v>-1083981.2613019999</v>
      </c>
      <c r="E245" s="24">
        <f t="shared" ref="E245:E253" si="117">-I223</f>
        <v>-654.08766500000002</v>
      </c>
      <c r="F245" s="24">
        <f t="shared" ref="F245:F253" si="118">F244+SUM(B245:E245)</f>
        <v>13799363.705076188</v>
      </c>
      <c r="G245" s="35"/>
      <c r="H245" s="20">
        <v>2</v>
      </c>
      <c r="I245" s="24">
        <f>NPV($B$33,B246:B$254)*(1+$B$33)</f>
        <v>30476497.698088214</v>
      </c>
      <c r="J245" s="24">
        <f>NPV($B$33,D246:D$254)</f>
        <v>-44269931.878980435</v>
      </c>
      <c r="K245" s="24">
        <f>NPV($B$33,E246:E$254)</f>
        <v>-5929.5241839583268</v>
      </c>
      <c r="L245" s="24">
        <f t="shared" ref="L245:L253" si="119">-SUM(I245:K245)</f>
        <v>13799363.70507618</v>
      </c>
      <c r="M245" s="24"/>
      <c r="N245" s="24"/>
      <c r="R245" s="54">
        <f t="shared" ref="R245:R253" si="120">H245</f>
        <v>2</v>
      </c>
      <c r="S245" s="55">
        <f t="shared" si="110"/>
        <v>30476497.698088214</v>
      </c>
      <c r="T245" s="55">
        <f t="shared" si="111"/>
        <v>-44269931.878980435</v>
      </c>
      <c r="U245" s="55">
        <f t="shared" si="112"/>
        <v>-5929.5241839583268</v>
      </c>
      <c r="V245" s="55">
        <f t="shared" si="113"/>
        <v>13799363.70507618</v>
      </c>
    </row>
    <row r="246" spans="1:22" x14ac:dyDescent="0.25">
      <c r="A246" s="20">
        <v>3</v>
      </c>
      <c r="B246" s="24">
        <f t="shared" si="114"/>
        <v>5682867.7487762552</v>
      </c>
      <c r="C246" s="22">
        <f t="shared" si="115"/>
        <v>779289.25815409783</v>
      </c>
      <c r="D246" s="24">
        <f t="shared" si="116"/>
        <v>-1640997.0894921301</v>
      </c>
      <c r="E246" s="24">
        <f t="shared" si="117"/>
        <v>-739.48363122625199</v>
      </c>
      <c r="F246" s="24">
        <f t="shared" si="118"/>
        <v>18619784.138883185</v>
      </c>
      <c r="G246" s="35"/>
      <c r="H246" s="20">
        <v>3</v>
      </c>
      <c r="I246" s="24">
        <f>NPV($B$33,B247:B$254)*(1+$B$33)</f>
        <v>25785375.147284437</v>
      </c>
      <c r="J246" s="24">
        <f>NPV($B$33,D247:D$254)</f>
        <v>-44399732.064647526</v>
      </c>
      <c r="K246" s="24">
        <f>NPV($B$33,E247:E$254)</f>
        <v>-5427.2215200904084</v>
      </c>
      <c r="L246" s="24">
        <f t="shared" si="119"/>
        <v>18619784.138883177</v>
      </c>
      <c r="M246" s="24"/>
      <c r="N246" s="24"/>
      <c r="R246" s="54">
        <f t="shared" si="120"/>
        <v>3</v>
      </c>
      <c r="S246" s="55">
        <f t="shared" si="110"/>
        <v>25785375.147284437</v>
      </c>
      <c r="T246" s="55">
        <f t="shared" si="111"/>
        <v>-44399732.064647526</v>
      </c>
      <c r="U246" s="55">
        <f t="shared" si="112"/>
        <v>-5427.2215200904084</v>
      </c>
      <c r="V246" s="55">
        <f t="shared" si="113"/>
        <v>18619784.138883177</v>
      </c>
    </row>
    <row r="247" spans="1:22" x14ac:dyDescent="0.25">
      <c r="A247" s="20">
        <v>4</v>
      </c>
      <c r="B247" s="24">
        <f t="shared" si="114"/>
        <v>5109517.5387344705</v>
      </c>
      <c r="C247" s="22">
        <f t="shared" si="115"/>
        <v>949172.06710470619</v>
      </c>
      <c r="D247" s="24">
        <f t="shared" si="116"/>
        <v>-2008542.4081593775</v>
      </c>
      <c r="E247" s="24">
        <f t="shared" si="117"/>
        <v>-765.61523488338662</v>
      </c>
      <c r="F247" s="24">
        <f t="shared" si="118"/>
        <v>22669165.721328102</v>
      </c>
      <c r="G247" s="35"/>
      <c r="H247" s="20">
        <v>4</v>
      </c>
      <c r="I247" s="24">
        <f>NPV($B$33,B248:B$254)*(1+$B$33)</f>
        <v>21502891.912891969</v>
      </c>
      <c r="J247" s="24">
        <f>NPV($B$33,D248:D$254)</f>
        <v>-44167178.939074047</v>
      </c>
      <c r="K247" s="24">
        <f>NPV($B$33,E248:E$254)</f>
        <v>-4878.6951460106384</v>
      </c>
      <c r="L247" s="24">
        <f t="shared" si="119"/>
        <v>22669165.721328087</v>
      </c>
      <c r="M247" s="24"/>
      <c r="N247" s="24"/>
      <c r="R247" s="54">
        <f t="shared" si="120"/>
        <v>4</v>
      </c>
      <c r="S247" s="55">
        <f t="shared" si="110"/>
        <v>21502891.912891969</v>
      </c>
      <c r="T247" s="55">
        <f t="shared" si="111"/>
        <v>-44167178.939074047</v>
      </c>
      <c r="U247" s="55">
        <f t="shared" si="112"/>
        <v>-4878.6951460106384</v>
      </c>
      <c r="V247" s="55">
        <f t="shared" si="113"/>
        <v>22669165.721328087</v>
      </c>
    </row>
    <row r="248" spans="1:22" x14ac:dyDescent="0.25">
      <c r="A248" s="20">
        <v>5</v>
      </c>
      <c r="B248" s="24">
        <f t="shared" si="114"/>
        <v>4644360.3467536848</v>
      </c>
      <c r="C248" s="22">
        <f t="shared" si="115"/>
        <v>1092541.0427232715</v>
      </c>
      <c r="D248" s="24">
        <f t="shared" si="116"/>
        <v>-2194268.326890321</v>
      </c>
      <c r="E248" s="24">
        <f t="shared" si="117"/>
        <v>-976.7236694725807</v>
      </c>
      <c r="F248" s="24">
        <f t="shared" si="118"/>
        <v>26210822.060245264</v>
      </c>
      <c r="G248" s="35"/>
      <c r="H248" s="20">
        <v>5</v>
      </c>
      <c r="I248" s="24">
        <f>NPV($B$33,B249:B$254)*(1+$B$33)</f>
        <v>17532872.828783818</v>
      </c>
      <c r="J248" s="24">
        <f>NPV($B$33,D249:D$254)</f>
        <v>-43739597.769746698</v>
      </c>
      <c r="K248" s="24">
        <f>NPV($B$33,E249:E$254)</f>
        <v>-4097.1192823784831</v>
      </c>
      <c r="L248" s="24">
        <f t="shared" si="119"/>
        <v>26210822.060245261</v>
      </c>
      <c r="M248" s="24"/>
      <c r="N248" s="24"/>
      <c r="R248" s="54">
        <f t="shared" si="120"/>
        <v>5</v>
      </c>
      <c r="S248" s="55">
        <f t="shared" si="110"/>
        <v>17532872.828783818</v>
      </c>
      <c r="T248" s="55">
        <f t="shared" si="111"/>
        <v>-43739597.769746698</v>
      </c>
      <c r="U248" s="55">
        <f t="shared" si="112"/>
        <v>-4097.1192823784831</v>
      </c>
      <c r="V248" s="55">
        <f t="shared" si="113"/>
        <v>26210822.060245261</v>
      </c>
    </row>
    <row r="249" spans="1:22" x14ac:dyDescent="0.25">
      <c r="A249" s="20">
        <v>6</v>
      </c>
      <c r="B249" s="24">
        <f t="shared" si="114"/>
        <v>4265975.0205829693</v>
      </c>
      <c r="C249" s="22">
        <f t="shared" si="115"/>
        <v>1219071.8832331295</v>
      </c>
      <c r="D249" s="24">
        <f t="shared" si="116"/>
        <v>-2198822.034424</v>
      </c>
      <c r="E249" s="24">
        <f t="shared" si="117"/>
        <v>-824.25476053110413</v>
      </c>
      <c r="F249" s="24">
        <f t="shared" si="118"/>
        <v>29496222.674876831</v>
      </c>
      <c r="G249" s="35"/>
      <c r="H249" s="20">
        <v>6</v>
      </c>
      <c r="I249" s="24">
        <f>NPV($B$33,B250:B$254)*(1+$B$33)</f>
        <v>13797573.720528882</v>
      </c>
      <c r="J249" s="24">
        <f>NPV($B$33,D250:D$254)</f>
        <v>-43290359.646112569</v>
      </c>
      <c r="K249" s="24">
        <f>NPV($B$33,E250:E$254)</f>
        <v>-3436.7492931425181</v>
      </c>
      <c r="L249" s="24">
        <f t="shared" si="119"/>
        <v>29496222.674876828</v>
      </c>
      <c r="M249" s="24"/>
      <c r="N249" s="24"/>
      <c r="R249" s="54">
        <f t="shared" si="120"/>
        <v>6</v>
      </c>
      <c r="S249" s="55">
        <f t="shared" si="110"/>
        <v>13797573.720528882</v>
      </c>
      <c r="T249" s="55">
        <f t="shared" si="111"/>
        <v>-43290359.646112569</v>
      </c>
      <c r="U249" s="55">
        <f t="shared" si="112"/>
        <v>-3436.7492931425181</v>
      </c>
      <c r="V249" s="55">
        <f t="shared" si="113"/>
        <v>29496222.674876828</v>
      </c>
    </row>
    <row r="250" spans="1:22" x14ac:dyDescent="0.25">
      <c r="A250" s="20">
        <v>7</v>
      </c>
      <c r="B250" s="24">
        <f t="shared" si="114"/>
        <v>3961524.7546915221</v>
      </c>
      <c r="C250" s="22">
        <f t="shared" si="115"/>
        <v>1338309.8971827342</v>
      </c>
      <c r="D250" s="24">
        <f t="shared" si="116"/>
        <v>-2113748.1551471772</v>
      </c>
      <c r="E250" s="24">
        <f t="shared" si="117"/>
        <v>-863.84252857505123</v>
      </c>
      <c r="F250" s="24">
        <f t="shared" si="118"/>
        <v>32681445.329075336</v>
      </c>
      <c r="G250" s="35"/>
      <c r="H250" s="20">
        <v>7</v>
      </c>
      <c r="I250" s="24">
        <f>NPV($B$33,B251:B$254)*(1+$B$33)</f>
        <v>10229490.924470855</v>
      </c>
      <c r="J250" s="24">
        <f>NPV($B$33,D251:D$254)</f>
        <v>-42908225.876809895</v>
      </c>
      <c r="K250" s="24">
        <f>NPV($B$33,E251:E$254)</f>
        <v>-2710.3767362931676</v>
      </c>
      <c r="L250" s="24">
        <f t="shared" si="119"/>
        <v>32681445.329075333</v>
      </c>
      <c r="M250" s="24"/>
      <c r="N250" s="24"/>
      <c r="R250" s="54">
        <f t="shared" si="120"/>
        <v>7</v>
      </c>
      <c r="S250" s="55">
        <f t="shared" si="110"/>
        <v>10229490.924470855</v>
      </c>
      <c r="T250" s="55">
        <f t="shared" si="111"/>
        <v>-42908225.876809895</v>
      </c>
      <c r="U250" s="55">
        <f t="shared" si="112"/>
        <v>-2710.3767362931676</v>
      </c>
      <c r="V250" s="55">
        <f t="shared" si="113"/>
        <v>32681445.329075333</v>
      </c>
    </row>
    <row r="251" spans="1:22" x14ac:dyDescent="0.25">
      <c r="A251" s="20">
        <v>8</v>
      </c>
      <c r="B251" s="24">
        <f t="shared" si="114"/>
        <v>3717655.4300160795</v>
      </c>
      <c r="C251" s="22">
        <f t="shared" si="115"/>
        <v>1455964.0303636566</v>
      </c>
      <c r="D251" s="24">
        <f t="shared" si="116"/>
        <v>-1944714.9985240875</v>
      </c>
      <c r="E251" s="24">
        <f t="shared" si="117"/>
        <v>-913.28065266067517</v>
      </c>
      <c r="F251" s="24">
        <f t="shared" si="118"/>
        <v>35909436.510278322</v>
      </c>
      <c r="G251" s="35"/>
      <c r="H251" s="20">
        <v>8</v>
      </c>
      <c r="I251" s="24">
        <f>NPV($B$33,B252:B$254)*(1+$B$33)</f>
        <v>6772308.9142329665</v>
      </c>
      <c r="J251" s="24">
        <f>NPV($B$33,D252:D$254)</f>
        <v>-42679839.913358204</v>
      </c>
      <c r="K251" s="24">
        <f>NPV($B$33,E252:E$254)</f>
        <v>-1905.5111530842194</v>
      </c>
      <c r="L251" s="24">
        <f t="shared" si="119"/>
        <v>35909436.510278322</v>
      </c>
      <c r="M251" s="24"/>
      <c r="N251" s="24"/>
      <c r="R251" s="54">
        <f t="shared" si="120"/>
        <v>8</v>
      </c>
      <c r="S251" s="55">
        <f t="shared" si="110"/>
        <v>6772308.9142329665</v>
      </c>
      <c r="T251" s="55">
        <f t="shared" si="111"/>
        <v>-42679839.913358204</v>
      </c>
      <c r="U251" s="55">
        <f t="shared" si="112"/>
        <v>-1905.5111530842194</v>
      </c>
      <c r="V251" s="55">
        <f t="shared" si="113"/>
        <v>35909436.510278322</v>
      </c>
    </row>
    <row r="252" spans="1:22" x14ac:dyDescent="0.25">
      <c r="A252" s="20">
        <v>9</v>
      </c>
      <c r="B252" s="24">
        <f t="shared" si="114"/>
        <v>3525171.7754165106</v>
      </c>
      <c r="C252" s="22">
        <f t="shared" si="115"/>
        <v>1577384.3314277933</v>
      </c>
      <c r="D252" s="24">
        <f t="shared" si="116"/>
        <v>-1706832.8913838058</v>
      </c>
      <c r="E252" s="24">
        <f t="shared" si="117"/>
        <v>-977.89328066026269</v>
      </c>
      <c r="F252" s="24">
        <f t="shared" si="118"/>
        <v>39304181.832458161</v>
      </c>
      <c r="G252" s="35"/>
      <c r="H252" s="20">
        <v>9</v>
      </c>
      <c r="I252" s="24">
        <f>NPV($B$33,B253:B$254)*(1+$B$33)</f>
        <v>3377022.6243691142</v>
      </c>
      <c r="J252" s="24">
        <f>NPV($B$33,D253:D$254)</f>
        <v>-42680200.618508726</v>
      </c>
      <c r="K252" s="24">
        <f>NPV($B$33,E253:E$254)</f>
        <v>-1003.8383185473256</v>
      </c>
      <c r="L252" s="24">
        <f t="shared" si="119"/>
        <v>39304181.832458161</v>
      </c>
      <c r="M252" s="24"/>
      <c r="N252" s="24"/>
      <c r="R252" s="54">
        <f t="shared" si="120"/>
        <v>9</v>
      </c>
      <c r="S252" s="55">
        <f t="shared" si="110"/>
        <v>3377022.6243691142</v>
      </c>
      <c r="T252" s="55">
        <f t="shared" si="111"/>
        <v>-42680200.618508726</v>
      </c>
      <c r="U252" s="55">
        <f t="shared" si="112"/>
        <v>-1003.8383185473256</v>
      </c>
      <c r="V252" s="55">
        <f t="shared" si="113"/>
        <v>39304181.832458161</v>
      </c>
    </row>
    <row r="253" spans="1:22" x14ac:dyDescent="0.25">
      <c r="A253" s="20">
        <v>10</v>
      </c>
      <c r="B253" s="24">
        <f t="shared" si="114"/>
        <v>3377022.6243691142</v>
      </c>
      <c r="C253" s="22">
        <f t="shared" si="115"/>
        <v>1707248.1782730911</v>
      </c>
      <c r="D253" s="24">
        <f t="shared" si="116"/>
        <v>-44387408.64324908</v>
      </c>
      <c r="E253" s="24">
        <f t="shared" si="117"/>
        <v>-1043.9918512892186</v>
      </c>
      <c r="F253" s="24">
        <f t="shared" si="118"/>
        <v>0</v>
      </c>
      <c r="G253" s="35"/>
      <c r="H253" s="20">
        <v>10</v>
      </c>
      <c r="I253" s="24">
        <f>NPV($B$33,B254:B$254)*(1+$B$33)</f>
        <v>0</v>
      </c>
      <c r="J253" s="24">
        <f>NPV($B$33,D254:D$254)</f>
        <v>0</v>
      </c>
      <c r="K253" s="24">
        <f>NPV($B$33,E254:E$254)</f>
        <v>0</v>
      </c>
      <c r="L253" s="24">
        <f t="shared" si="119"/>
        <v>0</v>
      </c>
      <c r="M253" s="24"/>
      <c r="N253" s="24"/>
      <c r="R253" s="54">
        <f t="shared" si="120"/>
        <v>10</v>
      </c>
      <c r="S253" s="55">
        <f t="shared" si="110"/>
        <v>0</v>
      </c>
      <c r="T253" s="55">
        <f t="shared" si="111"/>
        <v>0</v>
      </c>
      <c r="U253" s="55">
        <f t="shared" si="112"/>
        <v>0</v>
      </c>
      <c r="V253" s="55">
        <f t="shared" si="113"/>
        <v>0</v>
      </c>
    </row>
    <row r="254" spans="1:22" x14ac:dyDescent="0.25">
      <c r="B254" s="28"/>
      <c r="C254" s="28"/>
      <c r="D254" s="28"/>
      <c r="E254" s="28"/>
      <c r="F254" s="28"/>
      <c r="G254" s="28"/>
      <c r="H254" s="28"/>
      <c r="I254" s="28"/>
      <c r="J254" s="28"/>
    </row>
    <row r="255" spans="1:22" x14ac:dyDescent="0.25">
      <c r="A255" s="3" t="s">
        <v>13</v>
      </c>
    </row>
    <row r="256" spans="1:22" x14ac:dyDescent="0.25">
      <c r="A256" s="3"/>
    </row>
    <row r="257" spans="1:12" x14ac:dyDescent="0.25">
      <c r="A257" s="3"/>
      <c r="G257" s="20" t="s">
        <v>19</v>
      </c>
    </row>
    <row r="258" spans="1:12" x14ac:dyDescent="0.25">
      <c r="B258" s="20"/>
      <c r="C258" s="20" t="s">
        <v>25</v>
      </c>
      <c r="D258" s="20" t="s">
        <v>18</v>
      </c>
      <c r="F258" s="20" t="s">
        <v>106</v>
      </c>
      <c r="G258" s="20" t="s">
        <v>89</v>
      </c>
      <c r="H258" s="20" t="s">
        <v>19</v>
      </c>
    </row>
    <row r="259" spans="1:12" x14ac:dyDescent="0.25">
      <c r="A259" s="20" t="s">
        <v>0</v>
      </c>
      <c r="B259" s="20" t="s">
        <v>25</v>
      </c>
      <c r="C259" s="20" t="s">
        <v>36</v>
      </c>
      <c r="D259" s="20" t="s">
        <v>25</v>
      </c>
      <c r="E259" s="20" t="s">
        <v>66</v>
      </c>
      <c r="F259" s="20" t="s">
        <v>107</v>
      </c>
      <c r="G259" s="20" t="s">
        <v>94</v>
      </c>
      <c r="H259" s="20" t="s">
        <v>87</v>
      </c>
    </row>
    <row r="260" spans="1:12" x14ac:dyDescent="0.25">
      <c r="A260" s="2" t="s">
        <v>1</v>
      </c>
      <c r="B260" s="2" t="s">
        <v>6</v>
      </c>
      <c r="C260" s="2" t="s">
        <v>37</v>
      </c>
      <c r="D260" s="2" t="s">
        <v>37</v>
      </c>
      <c r="E260" s="2" t="s">
        <v>35</v>
      </c>
      <c r="F260" s="2" t="s">
        <v>108</v>
      </c>
      <c r="G260" s="2" t="s">
        <v>95</v>
      </c>
      <c r="H260" s="2" t="s">
        <v>1</v>
      </c>
    </row>
    <row r="261" spans="1:12" x14ac:dyDescent="0.25">
      <c r="E261" s="29"/>
    </row>
    <row r="262" spans="1:12" x14ac:dyDescent="0.25">
      <c r="A262" s="13">
        <v>1</v>
      </c>
      <c r="B262" s="29">
        <f>Input!F60*'Actuarial balances'!E222</f>
        <v>6300000</v>
      </c>
      <c r="C262" s="29">
        <f>Input!H60*'Actuarial balances'!D203</f>
        <v>100000</v>
      </c>
      <c r="D262" s="29">
        <f>B262+C262</f>
        <v>6400000</v>
      </c>
      <c r="E262" s="29"/>
      <c r="G262" s="23"/>
      <c r="H262" s="29">
        <f>D$74*G262</f>
        <v>0</v>
      </c>
    </row>
    <row r="263" spans="1:12" x14ac:dyDescent="0.25">
      <c r="A263" s="13">
        <v>2</v>
      </c>
      <c r="B263" s="29">
        <f>Input!F61*'Actuarial balances'!E223</f>
        <v>0</v>
      </c>
      <c r="C263" s="29">
        <v>0</v>
      </c>
      <c r="D263" s="29">
        <f t="shared" ref="D263:D271" si="121">B263+C263</f>
        <v>0</v>
      </c>
      <c r="E263" s="29"/>
      <c r="G263" s="23"/>
      <c r="H263" s="29">
        <f>D$74*G263</f>
        <v>0</v>
      </c>
    </row>
    <row r="264" spans="1:12" x14ac:dyDescent="0.25">
      <c r="A264" s="13">
        <v>3</v>
      </c>
      <c r="B264" s="29">
        <f>Input!F62*'Actuarial balances'!E224</f>
        <v>0</v>
      </c>
      <c r="C264" s="29">
        <v>0</v>
      </c>
      <c r="D264" s="29">
        <f t="shared" si="121"/>
        <v>0</v>
      </c>
      <c r="E264" s="29"/>
      <c r="G264" s="23"/>
      <c r="H264" s="29">
        <f>D$74*G264</f>
        <v>0</v>
      </c>
    </row>
    <row r="265" spans="1:12" x14ac:dyDescent="0.25">
      <c r="A265" s="13">
        <v>4</v>
      </c>
      <c r="B265" s="29">
        <f>Input!F63*'Actuarial balances'!E225</f>
        <v>0</v>
      </c>
      <c r="C265" s="29">
        <v>0</v>
      </c>
      <c r="D265" s="29">
        <f t="shared" si="121"/>
        <v>0</v>
      </c>
      <c r="E265" s="29"/>
      <c r="G265" s="23"/>
      <c r="H265" s="29">
        <f>D$74*G265</f>
        <v>0</v>
      </c>
    </row>
    <row r="266" spans="1:12" x14ac:dyDescent="0.25">
      <c r="A266" s="13">
        <v>5</v>
      </c>
      <c r="B266" s="29">
        <f>Input!F64*'Actuarial balances'!E226</f>
        <v>0</v>
      </c>
      <c r="C266" s="29">
        <v>0</v>
      </c>
      <c r="D266" s="29">
        <f t="shared" si="121"/>
        <v>0</v>
      </c>
      <c r="E266" s="29">
        <f t="shared" ref="E266:E271" si="122">H208</f>
        <v>56071.752417081923</v>
      </c>
      <c r="F266" s="19">
        <f>MAX(0,1-E266/E78)</f>
        <v>3.2041012495998E-4</v>
      </c>
      <c r="G266" s="23"/>
      <c r="H266" s="29">
        <f>G78+D190*F266</f>
        <v>615389.2098303024</v>
      </c>
      <c r="J266" s="38" t="s">
        <v>109</v>
      </c>
      <c r="K266" s="38"/>
      <c r="L266" s="29">
        <f>H266-G78</f>
        <v>799.24699165998027</v>
      </c>
    </row>
    <row r="267" spans="1:12" x14ac:dyDescent="0.25">
      <c r="A267" s="13">
        <v>6</v>
      </c>
      <c r="B267" s="29">
        <f>Input!F65*'Actuarial balances'!E227</f>
        <v>0</v>
      </c>
      <c r="C267" s="29">
        <v>0</v>
      </c>
      <c r="D267" s="29">
        <f t="shared" si="121"/>
        <v>0</v>
      </c>
      <c r="E267" s="29">
        <f t="shared" si="122"/>
        <v>52070.074055156794</v>
      </c>
      <c r="G267" s="23">
        <f>E266/E$273</f>
        <v>0.22634349709489152</v>
      </c>
      <c r="H267" s="29">
        <f>D$284*G267</f>
        <v>564602.5048599164</v>
      </c>
    </row>
    <row r="268" spans="1:12" x14ac:dyDescent="0.25">
      <c r="A268" s="13">
        <v>7</v>
      </c>
      <c r="B268" s="29">
        <f>Input!F66*'Actuarial balances'!E228</f>
        <v>0</v>
      </c>
      <c r="C268" s="29">
        <v>0</v>
      </c>
      <c r="D268" s="29">
        <f t="shared" si="121"/>
        <v>0</v>
      </c>
      <c r="E268" s="29">
        <f t="shared" si="122"/>
        <v>48864.668414161337</v>
      </c>
      <c r="G268" s="23">
        <f>E267/E$273</f>
        <v>0.21019001810337068</v>
      </c>
      <c r="H268" s="29">
        <f>D$284*G268</f>
        <v>524308.46143532824</v>
      </c>
    </row>
    <row r="269" spans="1:12" x14ac:dyDescent="0.25">
      <c r="A269" s="13">
        <v>8</v>
      </c>
      <c r="B269" s="29">
        <f>Input!F67*'Actuarial balances'!E229</f>
        <v>0</v>
      </c>
      <c r="C269" s="29">
        <v>0</v>
      </c>
      <c r="D269" s="29">
        <f t="shared" si="121"/>
        <v>0</v>
      </c>
      <c r="E269" s="29">
        <f t="shared" si="122"/>
        <v>46334.673331450504</v>
      </c>
      <c r="G269" s="23">
        <f>E268/E$273</f>
        <v>0.19725083409153699</v>
      </c>
      <c r="H269" s="29">
        <f>D$284*G269</f>
        <v>492032.31567593868</v>
      </c>
    </row>
    <row r="270" spans="1:12" x14ac:dyDescent="0.25">
      <c r="A270" s="13">
        <v>9</v>
      </c>
      <c r="B270" s="29">
        <f>Input!F68*'Actuarial balances'!E230</f>
        <v>0</v>
      </c>
      <c r="C270" s="29">
        <v>0</v>
      </c>
      <c r="D270" s="29">
        <f t="shared" si="121"/>
        <v>0</v>
      </c>
      <c r="E270" s="29">
        <f t="shared" si="122"/>
        <v>44387.408643249095</v>
      </c>
      <c r="G270" s="23">
        <f>E269/E$273</f>
        <v>0.18703806366848891</v>
      </c>
      <c r="H270" s="29">
        <f>D$284*G270</f>
        <v>466557.07191404328</v>
      </c>
    </row>
    <row r="271" spans="1:12" x14ac:dyDescent="0.25">
      <c r="A271" s="13">
        <v>10</v>
      </c>
      <c r="B271" s="29">
        <f>Input!F69*'Actuarial balances'!E231</f>
        <v>0</v>
      </c>
      <c r="C271" s="29">
        <v>0</v>
      </c>
      <c r="D271" s="29">
        <f t="shared" si="121"/>
        <v>0</v>
      </c>
      <c r="E271" s="29">
        <f t="shared" si="122"/>
        <v>0</v>
      </c>
      <c r="G271" s="23">
        <f>E270/E$273</f>
        <v>0.17917758704171188</v>
      </c>
      <c r="H271" s="29">
        <f>D$284*G271</f>
        <v>446949.50708521792</v>
      </c>
    </row>
    <row r="272" spans="1:12" x14ac:dyDescent="0.25">
      <c r="B272" s="29"/>
      <c r="C272" s="29"/>
      <c r="D272" s="29"/>
      <c r="E272" s="29"/>
      <c r="F272" s="23"/>
      <c r="G272" s="29"/>
    </row>
    <row r="273" spans="1:7" x14ac:dyDescent="0.25">
      <c r="A273" s="20" t="s">
        <v>86</v>
      </c>
      <c r="B273" s="29"/>
      <c r="C273" s="29"/>
      <c r="D273" s="29"/>
      <c r="E273" s="29">
        <f>SUM(E266:E271)</f>
        <v>247728.57686109966</v>
      </c>
      <c r="F273" s="23"/>
      <c r="G273" s="29"/>
    </row>
    <row r="274" spans="1:7" x14ac:dyDescent="0.25">
      <c r="B274" s="29"/>
      <c r="C274" s="29"/>
      <c r="D274" s="29"/>
      <c r="E274" s="29"/>
      <c r="F274" s="23"/>
      <c r="G274" s="29"/>
    </row>
    <row r="275" spans="1:7" x14ac:dyDescent="0.25">
      <c r="A275" s="3" t="s">
        <v>38</v>
      </c>
      <c r="F275" s="23"/>
      <c r="G275" s="29"/>
    </row>
    <row r="276" spans="1:7" x14ac:dyDescent="0.25">
      <c r="A276" s="3"/>
    </row>
    <row r="277" spans="1:7" x14ac:dyDescent="0.25">
      <c r="B277" s="20"/>
      <c r="C277" s="20"/>
      <c r="D277" s="20" t="s">
        <v>13</v>
      </c>
    </row>
    <row r="278" spans="1:7" x14ac:dyDescent="0.25">
      <c r="B278" s="2" t="s">
        <v>39</v>
      </c>
      <c r="C278" s="2" t="s">
        <v>19</v>
      </c>
      <c r="D278" s="2" t="s">
        <v>35</v>
      </c>
      <c r="E278" s="5" t="s">
        <v>93</v>
      </c>
    </row>
    <row r="279" spans="1:7" x14ac:dyDescent="0.25">
      <c r="D279" s="29">
        <v>0</v>
      </c>
    </row>
    <row r="280" spans="1:7" x14ac:dyDescent="0.25">
      <c r="A280" s="13">
        <v>1</v>
      </c>
      <c r="B280" s="29">
        <f t="shared" ref="B280:B289" si="123">D262</f>
        <v>6400000</v>
      </c>
      <c r="C280" s="29">
        <f>C186</f>
        <v>-1006778.0389440364</v>
      </c>
      <c r="D280" s="29">
        <f>D279+B280+C280</f>
        <v>5393221.9610559633</v>
      </c>
      <c r="E280" s="13" t="s">
        <v>91</v>
      </c>
    </row>
    <row r="281" spans="1:7" x14ac:dyDescent="0.25">
      <c r="A281" s="13">
        <v>2</v>
      </c>
      <c r="B281" s="29">
        <f t="shared" si="123"/>
        <v>0</v>
      </c>
      <c r="C281" s="29">
        <f>C187</f>
        <v>-855222.20346257626</v>
      </c>
      <c r="D281" s="29">
        <f t="shared" ref="D281:D289" si="124">D280+B281+C281</f>
        <v>4537999.7575933868</v>
      </c>
      <c r="E281" s="13" t="s">
        <v>91</v>
      </c>
    </row>
    <row r="282" spans="1:7" x14ac:dyDescent="0.25">
      <c r="A282" s="13">
        <v>3</v>
      </c>
      <c r="B282" s="29">
        <f t="shared" si="123"/>
        <v>0</v>
      </c>
      <c r="C282" s="29">
        <f>C188</f>
        <v>-752016.04048200091</v>
      </c>
      <c r="D282" s="29">
        <f t="shared" si="124"/>
        <v>3785983.7171113859</v>
      </c>
      <c r="E282" s="13" t="s">
        <v>91</v>
      </c>
    </row>
    <row r="283" spans="1:7" x14ac:dyDescent="0.25">
      <c r="A283" s="13">
        <v>4</v>
      </c>
      <c r="B283" s="29">
        <f t="shared" si="123"/>
        <v>0</v>
      </c>
      <c r="C283" s="29">
        <f>C189</f>
        <v>-676144.39014173136</v>
      </c>
      <c r="D283" s="29">
        <f t="shared" si="124"/>
        <v>3109839.3269696543</v>
      </c>
      <c r="E283" s="13" t="s">
        <v>91</v>
      </c>
    </row>
    <row r="284" spans="1:7" x14ac:dyDescent="0.25">
      <c r="A284" s="13">
        <v>5</v>
      </c>
      <c r="B284" s="29">
        <f t="shared" si="123"/>
        <v>0</v>
      </c>
      <c r="C284" s="29">
        <f>C190</f>
        <v>-615389.4659992099</v>
      </c>
      <c r="D284" s="29">
        <f t="shared" si="124"/>
        <v>2494449.8609704445</v>
      </c>
      <c r="E284" s="13" t="s">
        <v>96</v>
      </c>
    </row>
    <row r="285" spans="1:7" x14ac:dyDescent="0.25">
      <c r="A285" s="13">
        <v>6</v>
      </c>
      <c r="B285" s="29">
        <f t="shared" si="123"/>
        <v>0</v>
      </c>
      <c r="C285" s="29">
        <f>-H267</f>
        <v>-564602.5048599164</v>
      </c>
      <c r="D285" s="29">
        <f t="shared" si="124"/>
        <v>1929847.3561105281</v>
      </c>
      <c r="E285" s="13" t="s">
        <v>92</v>
      </c>
    </row>
    <row r="286" spans="1:7" x14ac:dyDescent="0.25">
      <c r="A286" s="13">
        <v>7</v>
      </c>
      <c r="B286" s="29">
        <f t="shared" si="123"/>
        <v>0</v>
      </c>
      <c r="C286" s="29">
        <f>-H268</f>
        <v>-524308.46143532824</v>
      </c>
      <c r="D286" s="29">
        <f t="shared" si="124"/>
        <v>1405538.8946751999</v>
      </c>
      <c r="E286" s="13" t="s">
        <v>92</v>
      </c>
    </row>
    <row r="287" spans="1:7" x14ac:dyDescent="0.25">
      <c r="A287" s="13">
        <v>8</v>
      </c>
      <c r="B287" s="29">
        <f t="shared" si="123"/>
        <v>0</v>
      </c>
      <c r="C287" s="29">
        <f>-H269</f>
        <v>-492032.31567593868</v>
      </c>
      <c r="D287" s="29">
        <f t="shared" si="124"/>
        <v>913506.57899926114</v>
      </c>
      <c r="E287" s="13" t="s">
        <v>92</v>
      </c>
    </row>
    <row r="288" spans="1:7" x14ac:dyDescent="0.25">
      <c r="A288" s="13">
        <v>9</v>
      </c>
      <c r="B288" s="29">
        <f t="shared" si="123"/>
        <v>0</v>
      </c>
      <c r="C288" s="29">
        <f>-H270</f>
        <v>-466557.07191404328</v>
      </c>
      <c r="D288" s="29">
        <f t="shared" si="124"/>
        <v>446949.50708521786</v>
      </c>
      <c r="E288" s="13" t="s">
        <v>92</v>
      </c>
    </row>
    <row r="289" spans="1:5" x14ac:dyDescent="0.25">
      <c r="A289" s="13">
        <v>10</v>
      </c>
      <c r="B289" s="29">
        <f t="shared" si="123"/>
        <v>0</v>
      </c>
      <c r="C289" s="29">
        <f>-H271</f>
        <v>-446949.50708521792</v>
      </c>
      <c r="D289" s="29">
        <f t="shared" si="124"/>
        <v>0</v>
      </c>
      <c r="E289" s="13" t="s">
        <v>92</v>
      </c>
    </row>
  </sheetData>
  <mergeCells count="13">
    <mergeCell ref="R218:AE218"/>
    <mergeCell ref="R233:S233"/>
    <mergeCell ref="R234:V234"/>
    <mergeCell ref="R241:V241"/>
    <mergeCell ref="R139:S139"/>
    <mergeCell ref="R140:V140"/>
    <mergeCell ref="R124:AE124"/>
    <mergeCell ref="R166:W166"/>
    <mergeCell ref="O29:Q29"/>
    <mergeCell ref="R45:V45"/>
    <mergeCell ref="R44:S44"/>
    <mergeCell ref="R29:X29"/>
    <mergeCell ref="R68:V6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2"/>
  <sheetViews>
    <sheetView zoomScaleNormal="100" workbookViewId="0">
      <selection activeCell="A42" sqref="A42"/>
    </sheetView>
  </sheetViews>
  <sheetFormatPr defaultColWidth="8.7109375" defaultRowHeight="15" x14ac:dyDescent="0.25"/>
  <cols>
    <col min="1" max="1" width="24.85546875" style="13" bestFit="1" customWidth="1"/>
    <col min="2" max="2" width="11" style="13" bestFit="1" customWidth="1"/>
    <col min="3" max="3" width="11.42578125" style="13" bestFit="1" customWidth="1"/>
    <col min="4" max="4" width="11.85546875" style="13" bestFit="1" customWidth="1"/>
    <col min="5" max="5" width="12.42578125" style="13" bestFit="1" customWidth="1"/>
    <col min="6" max="6" width="11.85546875" style="13" bestFit="1" customWidth="1"/>
    <col min="7" max="11" width="11.5703125" style="13" customWidth="1"/>
    <col min="12" max="12" width="12.85546875" style="13" customWidth="1"/>
    <col min="13" max="13" width="8.7109375" style="13"/>
    <col min="14" max="14" width="11" style="13" bestFit="1" customWidth="1"/>
    <col min="15" max="15" width="11.5703125" style="13" bestFit="1" customWidth="1"/>
    <col min="16" max="16" width="8.7109375" style="13"/>
    <col min="17" max="17" width="11.5703125" style="13" bestFit="1" customWidth="1"/>
    <col min="18" max="18" width="11.28515625" style="13" bestFit="1" customWidth="1"/>
    <col min="19" max="19" width="11.42578125" style="13" customWidth="1"/>
    <col min="20" max="20" width="11.140625" style="13" customWidth="1"/>
    <col min="21" max="21" width="11.28515625" style="13" customWidth="1"/>
    <col min="22" max="22" width="12.28515625" style="13" bestFit="1" customWidth="1"/>
    <col min="23" max="23" width="11.140625" style="13" customWidth="1"/>
    <col min="24" max="24" width="13.140625" style="13" customWidth="1"/>
    <col min="25" max="25" width="11.85546875" style="13" customWidth="1"/>
    <col min="26" max="26" width="11.28515625" style="13" customWidth="1"/>
    <col min="27" max="27" width="13" style="13" customWidth="1"/>
    <col min="28" max="28" width="11.28515625" style="13" customWidth="1"/>
    <col min="29" max="29" width="12.7109375" style="13" customWidth="1"/>
    <col min="30" max="16384" width="8.7109375" style="13"/>
  </cols>
  <sheetData>
    <row r="1" spans="1:29" x14ac:dyDescent="0.25">
      <c r="A1" s="14" t="s">
        <v>157</v>
      </c>
    </row>
    <row r="2" spans="1:29" x14ac:dyDescent="0.25">
      <c r="A2" s="6" t="s">
        <v>168</v>
      </c>
    </row>
    <row r="3" spans="1:29" x14ac:dyDescent="0.25">
      <c r="A3" s="16" t="s">
        <v>158</v>
      </c>
    </row>
    <row r="4" spans="1:29" x14ac:dyDescent="0.25">
      <c r="A4" s="17" t="s">
        <v>169</v>
      </c>
    </row>
    <row r="6" spans="1:29" x14ac:dyDescent="0.25">
      <c r="A6" s="1" t="s">
        <v>40</v>
      </c>
    </row>
    <row r="8" spans="1:29" x14ac:dyDescent="0.25">
      <c r="A8" s="1" t="s">
        <v>84</v>
      </c>
      <c r="B8" s="13" t="s">
        <v>154</v>
      </c>
      <c r="I8" s="35"/>
    </row>
    <row r="10" spans="1:29" x14ac:dyDescent="0.25">
      <c r="B10" s="20"/>
      <c r="C10" s="20" t="s">
        <v>7</v>
      </c>
      <c r="D10" s="20"/>
      <c r="E10" s="20"/>
      <c r="F10" s="20"/>
      <c r="G10" s="20" t="s">
        <v>47</v>
      </c>
      <c r="H10" s="20"/>
      <c r="I10" s="20"/>
      <c r="J10" s="20"/>
      <c r="K10" s="20"/>
      <c r="N10" s="20"/>
      <c r="O10" s="20"/>
      <c r="Q10" s="20"/>
      <c r="S10" s="20"/>
      <c r="T10" s="20"/>
      <c r="U10" s="20"/>
      <c r="V10" s="20"/>
      <c r="W10" s="20"/>
      <c r="X10" s="20"/>
      <c r="Y10" s="20"/>
      <c r="Z10" s="20"/>
      <c r="AA10" s="20"/>
      <c r="AB10" s="20"/>
    </row>
    <row r="11" spans="1:29" x14ac:dyDescent="0.25">
      <c r="A11" s="20" t="s">
        <v>0</v>
      </c>
      <c r="B11" s="20"/>
      <c r="C11" s="20" t="s">
        <v>8</v>
      </c>
      <c r="D11" s="20" t="s">
        <v>43</v>
      </c>
      <c r="E11" s="20" t="s">
        <v>11</v>
      </c>
      <c r="F11" s="20" t="s">
        <v>63</v>
      </c>
      <c r="G11" s="20" t="s">
        <v>27</v>
      </c>
      <c r="H11" s="20" t="s">
        <v>9</v>
      </c>
      <c r="I11" s="20" t="s">
        <v>98</v>
      </c>
      <c r="J11" s="20" t="s">
        <v>4</v>
      </c>
      <c r="K11" s="20" t="s">
        <v>13</v>
      </c>
      <c r="L11" s="20" t="s">
        <v>46</v>
      </c>
      <c r="N11" s="20"/>
      <c r="O11" s="20" t="s">
        <v>140</v>
      </c>
      <c r="Q11" s="20"/>
      <c r="R11" s="20"/>
      <c r="S11" s="20"/>
      <c r="T11" s="20"/>
      <c r="U11" s="20"/>
      <c r="V11" s="20"/>
      <c r="W11" s="20"/>
      <c r="X11" s="20"/>
      <c r="Y11" s="20"/>
      <c r="Z11" s="20"/>
      <c r="AA11" s="20"/>
      <c r="AB11" s="20"/>
      <c r="AC11" s="20"/>
    </row>
    <row r="12" spans="1:29" x14ac:dyDescent="0.25">
      <c r="A12" s="2" t="s">
        <v>1</v>
      </c>
      <c r="B12" s="2" t="s">
        <v>4</v>
      </c>
      <c r="C12" s="2" t="s">
        <v>42</v>
      </c>
      <c r="D12" s="2" t="s">
        <v>44</v>
      </c>
      <c r="E12" s="2" t="s">
        <v>44</v>
      </c>
      <c r="F12" s="2" t="s">
        <v>45</v>
      </c>
      <c r="G12" s="2" t="s">
        <v>37</v>
      </c>
      <c r="H12" s="2" t="s">
        <v>37</v>
      </c>
      <c r="I12" s="2" t="s">
        <v>37</v>
      </c>
      <c r="J12" s="2" t="s">
        <v>57</v>
      </c>
      <c r="K12" s="2" t="s">
        <v>19</v>
      </c>
      <c r="L12" s="2" t="s">
        <v>8</v>
      </c>
      <c r="N12" s="2"/>
      <c r="O12" s="2" t="s">
        <v>37</v>
      </c>
      <c r="Q12" s="2"/>
      <c r="R12" s="2"/>
      <c r="S12" s="2"/>
      <c r="T12" s="2"/>
      <c r="U12" s="2"/>
      <c r="V12" s="2"/>
      <c r="W12" s="2"/>
      <c r="X12" s="2"/>
      <c r="Y12" s="2"/>
      <c r="Z12" s="2"/>
      <c r="AA12" s="2"/>
      <c r="AB12" s="2"/>
      <c r="AC12" s="2"/>
    </row>
    <row r="13" spans="1:29" x14ac:dyDescent="0.25">
      <c r="Q13" s="35"/>
    </row>
    <row r="14" spans="1:29" x14ac:dyDescent="0.25">
      <c r="A14" s="13">
        <v>1</v>
      </c>
      <c r="B14" s="24">
        <f>'Actuarial balances'!E33</f>
        <v>9000000</v>
      </c>
      <c r="C14" s="24">
        <f>'Invested asset rollforwards'!H16</f>
        <v>96156.25</v>
      </c>
      <c r="D14" s="24">
        <f>-'Actuarial balances'!K33</f>
        <v>-63000</v>
      </c>
      <c r="E14" s="24">
        <f>-'Actuarial balances'!L33</f>
        <v>0</v>
      </c>
      <c r="F14" s="24">
        <f>'Actuarial balances'!F54-'Actuarial balances'!F55</f>
        <v>-7846420.4174484732</v>
      </c>
      <c r="G14" s="24">
        <f>-(Input!G18-Input!H18)*'Actuarial balances'!D14</f>
        <v>-100000</v>
      </c>
      <c r="H14" s="24">
        <f>-'Actuarial balances'!G33</f>
        <v>-35000</v>
      </c>
      <c r="I14" s="24">
        <f>-'Actuarial balances'!I33</f>
        <v>-630</v>
      </c>
      <c r="J14" s="24">
        <f>-B14*Input!K18</f>
        <v>-202500</v>
      </c>
      <c r="K14" s="24">
        <f>'Actuarial balances'!C92</f>
        <v>-1006778.0389440364</v>
      </c>
      <c r="L14" s="24">
        <f t="shared" ref="L14:L23" si="0">SUM(B14:K14)</f>
        <v>-158172.20639250951</v>
      </c>
      <c r="N14" s="35"/>
      <c r="O14" s="35">
        <f>SUM(G14:J14)</f>
        <v>-338130</v>
      </c>
      <c r="P14" s="19"/>
      <c r="Q14" s="35"/>
      <c r="R14" s="35"/>
      <c r="S14" s="35"/>
      <c r="T14" s="35"/>
      <c r="U14" s="35"/>
      <c r="V14" s="35"/>
      <c r="W14" s="35"/>
      <c r="X14" s="35"/>
      <c r="Y14" s="35"/>
      <c r="Z14" s="35"/>
      <c r="AA14" s="35"/>
      <c r="AB14" s="35"/>
      <c r="AC14" s="35"/>
    </row>
    <row r="15" spans="1:29" x14ac:dyDescent="0.25">
      <c r="A15" s="13">
        <v>2</v>
      </c>
      <c r="B15" s="24">
        <f>'Actuarial balances'!E34</f>
        <v>7645180.5</v>
      </c>
      <c r="C15" s="24">
        <f>'Invested asset rollforwards'!H17</f>
        <v>420581.55178093177</v>
      </c>
      <c r="D15" s="24">
        <f>-'Actuarial balances'!K34</f>
        <v>-65408.766499999998</v>
      </c>
      <c r="E15" s="24">
        <f>-'Actuarial balances'!L34</f>
        <v>-1018572.4948019999</v>
      </c>
      <c r="F15" s="24">
        <f>'Actuarial balances'!F55-'Actuarial balances'!F56</f>
        <v>-5948528.4905635966</v>
      </c>
      <c r="G15" s="24">
        <v>0</v>
      </c>
      <c r="H15" s="24">
        <f>-'Actuarial balances'!G34</f>
        <v>-30325.882650000003</v>
      </c>
      <c r="I15" s="24">
        <f>-'Actuarial balances'!I34</f>
        <v>-654.08766500000002</v>
      </c>
      <c r="J15" s="24">
        <f>-B15*Input!K19</f>
        <v>-172016.56125</v>
      </c>
      <c r="K15" s="24">
        <f>'Actuarial balances'!C93</f>
        <v>-855222.20346257626</v>
      </c>
      <c r="L15" s="24">
        <f t="shared" si="0"/>
        <v>-24966.43511224119</v>
      </c>
      <c r="N15" s="35"/>
      <c r="O15" s="35">
        <f t="shared" ref="O15:O23" si="1">SUM(G15:J15)</f>
        <v>-202996.53156500001</v>
      </c>
      <c r="P15" s="19"/>
      <c r="Q15" s="35"/>
      <c r="R15" s="35"/>
      <c r="S15" s="35"/>
      <c r="T15" s="35"/>
      <c r="U15" s="35"/>
      <c r="V15" s="35"/>
      <c r="W15" s="35"/>
      <c r="X15" s="35"/>
      <c r="Y15" s="35"/>
      <c r="Z15" s="35"/>
      <c r="AA15" s="35"/>
      <c r="AB15" s="35"/>
      <c r="AC15" s="35"/>
    </row>
    <row r="16" spans="1:29" x14ac:dyDescent="0.25">
      <c r="A16" s="13">
        <v>3</v>
      </c>
      <c r="B16" s="24">
        <f>'Actuarial balances'!E35</f>
        <v>6722578.4656932</v>
      </c>
      <c r="C16" s="24">
        <f>'Invested asset rollforwards'!H18</f>
        <v>671545.4770468676</v>
      </c>
      <c r="D16" s="24">
        <f>-'Actuarial balances'!K35</f>
        <v>-73948.363122625189</v>
      </c>
      <c r="E16" s="24">
        <f>-'Actuarial balances'!L35</f>
        <v>-1567048.7263695048</v>
      </c>
      <c r="F16" s="24">
        <f>'Actuarial balances'!F56-'Actuarial balances'!F57</f>
        <v>-4818498.560851194</v>
      </c>
      <c r="G16" s="24">
        <v>0</v>
      </c>
      <c r="H16" s="24">
        <f>-'Actuarial balances'!G35</f>
        <v>-27199.552472194689</v>
      </c>
      <c r="I16" s="24">
        <f>-'Actuarial balances'!I35</f>
        <v>-739.48363122625199</v>
      </c>
      <c r="J16" s="24">
        <f>-B16*Input!K20</f>
        <v>-151258.01547809699</v>
      </c>
      <c r="K16" s="24">
        <f>'Actuarial balances'!C94</f>
        <v>-752016.04048200091</v>
      </c>
      <c r="L16" s="24">
        <f t="shared" si="0"/>
        <v>3415.2003332249587</v>
      </c>
      <c r="N16" s="35"/>
      <c r="O16" s="35">
        <f t="shared" si="1"/>
        <v>-179197.05158151794</v>
      </c>
      <c r="P16" s="19"/>
      <c r="Q16" s="35"/>
      <c r="R16" s="35"/>
      <c r="S16" s="35"/>
      <c r="T16" s="35"/>
      <c r="U16" s="35"/>
      <c r="V16" s="35"/>
      <c r="W16" s="35"/>
      <c r="X16" s="35"/>
      <c r="Y16" s="35"/>
      <c r="Z16" s="35"/>
      <c r="AA16" s="35"/>
      <c r="AB16" s="35"/>
      <c r="AC16" s="35"/>
    </row>
    <row r="17" spans="1:29" x14ac:dyDescent="0.25">
      <c r="A17" s="13">
        <v>4</v>
      </c>
      <c r="B17" s="24">
        <f>'Actuarial balances'!E36</f>
        <v>6044330.8017109474</v>
      </c>
      <c r="C17" s="24">
        <f>'Invested asset rollforwards'!H19</f>
        <v>880211.23723196576</v>
      </c>
      <c r="D17" s="24">
        <f>-'Actuarial balances'!K36</f>
        <v>-76561.523488338644</v>
      </c>
      <c r="E17" s="24">
        <f>-'Actuarial balances'!L36</f>
        <v>-1931980.8846710389</v>
      </c>
      <c r="F17" s="24">
        <f>'Actuarial balances'!F57-'Actuarial balances'!F58</f>
        <v>-4047558.9177236408</v>
      </c>
      <c r="G17" s="24">
        <v>0</v>
      </c>
      <c r="H17" s="24">
        <f>-'Actuarial balances'!G36</f>
        <v>-24944.469672196941</v>
      </c>
      <c r="I17" s="24">
        <f>-'Actuarial balances'!I36</f>
        <v>-765.61523488338662</v>
      </c>
      <c r="J17" s="24">
        <f>-B17*Input!K21</f>
        <v>-135997.44303849631</v>
      </c>
      <c r="K17" s="24">
        <f>'Actuarial balances'!C95</f>
        <v>-676144.39014173136</v>
      </c>
      <c r="L17" s="24">
        <f t="shared" si="0"/>
        <v>30588.794972586795</v>
      </c>
      <c r="N17" s="35"/>
      <c r="O17" s="35">
        <f t="shared" si="1"/>
        <v>-161707.52794557664</v>
      </c>
      <c r="P17" s="19"/>
      <c r="Q17" s="35"/>
      <c r="R17" s="35"/>
      <c r="S17" s="35"/>
      <c r="T17" s="35"/>
      <c r="U17" s="35"/>
      <c r="V17" s="35"/>
      <c r="W17" s="35"/>
      <c r="X17" s="35"/>
      <c r="Y17" s="35"/>
      <c r="Z17" s="35"/>
      <c r="AA17" s="35"/>
      <c r="AB17" s="35"/>
      <c r="AC17" s="35"/>
    </row>
    <row r="18" spans="1:29" x14ac:dyDescent="0.25">
      <c r="A18" s="13">
        <v>5</v>
      </c>
      <c r="B18" s="24">
        <f>'Actuarial balances'!E37</f>
        <v>5494070.6407832671</v>
      </c>
      <c r="C18" s="24">
        <f>'Invested asset rollforwards'!H20</f>
        <v>1058185.9970898889</v>
      </c>
      <c r="D18" s="24">
        <f>-'Actuarial balances'!K37</f>
        <v>-78137.89355780647</v>
      </c>
      <c r="E18" s="24">
        <f>-'Actuarial balances'!L37</f>
        <v>-2097267.9458276597</v>
      </c>
      <c r="F18" s="24">
        <f>'Actuarial balances'!F58-'Actuarial balances'!F59</f>
        <v>-3558961.4555445537</v>
      </c>
      <c r="G18" s="24">
        <v>0</v>
      </c>
      <c r="H18" s="24">
        <f>-'Actuarial balances'!G37</f>
        <v>-23127.061809038503</v>
      </c>
      <c r="I18" s="24">
        <f>-'Actuarial balances'!I37</f>
        <v>-781.37893557806456</v>
      </c>
      <c r="J18" s="24">
        <f>-B18*Input!K22</f>
        <v>-123616.5894176235</v>
      </c>
      <c r="K18" s="24">
        <f>'Actuarial balances'!C96</f>
        <v>-614589.96283864242</v>
      </c>
      <c r="L18" s="24">
        <f t="shared" si="0"/>
        <v>55774.349942253204</v>
      </c>
      <c r="N18" s="35"/>
      <c r="O18" s="35">
        <f t="shared" si="1"/>
        <v>-147525.03016224006</v>
      </c>
      <c r="P18" s="19"/>
      <c r="Q18" s="35"/>
      <c r="R18" s="35"/>
      <c r="S18" s="35"/>
      <c r="T18" s="35"/>
      <c r="U18" s="35"/>
      <c r="V18" s="35"/>
      <c r="W18" s="35"/>
      <c r="X18" s="35"/>
      <c r="Y18" s="35"/>
      <c r="Z18" s="35"/>
      <c r="AA18" s="35"/>
      <c r="AB18" s="35"/>
      <c r="AC18" s="35"/>
    </row>
    <row r="19" spans="1:29" x14ac:dyDescent="0.25">
      <c r="A19" s="13">
        <v>6</v>
      </c>
      <c r="B19" s="24">
        <f>'Actuarial balances'!E38</f>
        <v>5048075.1719340198</v>
      </c>
      <c r="C19" s="24">
        <f>'Invested asset rollforwards'!H21</f>
        <v>1217095.3353724382</v>
      </c>
      <c r="D19" s="24">
        <f>-'Actuarial balances'!K38</f>
        <v>-78525.613785640278</v>
      </c>
      <c r="E19" s="24">
        <f>-'Actuarial balances'!L38</f>
        <v>-2117223.3040111908</v>
      </c>
      <c r="F19" s="24">
        <f>'Actuarial balances'!F59-'Actuarial balances'!F60</f>
        <v>-3288989.9976470135</v>
      </c>
      <c r="G19" s="24">
        <v>0</v>
      </c>
      <c r="H19" s="24">
        <f>-'Actuarial balances'!G38</f>
        <v>-21674.655685055681</v>
      </c>
      <c r="I19" s="24">
        <f>-'Actuarial balances'!I38</f>
        <v>-785.2561378564028</v>
      </c>
      <c r="J19" s="24">
        <f>-B19*Input!K23</f>
        <v>-113581.69136851544</v>
      </c>
      <c r="K19" s="24">
        <f>'Actuarial balances'!C97</f>
        <v>-564699.02467131231</v>
      </c>
      <c r="L19" s="24">
        <f t="shared" si="0"/>
        <v>79690.963999873959</v>
      </c>
      <c r="N19" s="35"/>
      <c r="O19" s="35">
        <f t="shared" si="1"/>
        <v>-136041.60319142754</v>
      </c>
      <c r="P19" s="19"/>
      <c r="Q19" s="35"/>
      <c r="R19" s="35"/>
      <c r="S19" s="35"/>
      <c r="T19" s="35"/>
      <c r="U19" s="35"/>
      <c r="V19" s="35"/>
      <c r="W19" s="35"/>
      <c r="X19" s="35"/>
      <c r="Y19" s="35"/>
      <c r="Z19" s="35"/>
      <c r="AA19" s="35"/>
      <c r="AB19" s="35"/>
      <c r="AC19" s="35"/>
    </row>
    <row r="20" spans="1:29" x14ac:dyDescent="0.25">
      <c r="A20" s="13">
        <v>7</v>
      </c>
      <c r="B20" s="24">
        <f>'Actuarial balances'!E39</f>
        <v>4688137.3160247803</v>
      </c>
      <c r="C20" s="24">
        <f>'Invested asset rollforwards'!H22</f>
        <v>1365972.5221592954</v>
      </c>
      <c r="D20" s="24">
        <f>-'Actuarial balances'!K39</f>
        <v>-82302.855103546113</v>
      </c>
      <c r="E20" s="24">
        <f>-'Actuarial balances'!L39</f>
        <v>-2028316.3589283656</v>
      </c>
      <c r="F20" s="24">
        <f>'Actuarial balances'!F60-'Actuarial balances'!F61</f>
        <v>-3189294.1303057</v>
      </c>
      <c r="G20" s="24">
        <v>0</v>
      </c>
      <c r="H20" s="24">
        <f>-'Actuarial balances'!G39</f>
        <v>-20531.79357310784</v>
      </c>
      <c r="I20" s="24">
        <f>-'Actuarial balances'!I39</f>
        <v>-823.02855103546108</v>
      </c>
      <c r="J20" s="24">
        <f>-B20*Input!K24</f>
        <v>-105483.08961055755</v>
      </c>
      <c r="K20" s="24">
        <f>'Actuarial balances'!C98</f>
        <v>-524434.85481419833</v>
      </c>
      <c r="L20" s="24">
        <f t="shared" si="0"/>
        <v>102923.72729756485</v>
      </c>
      <c r="N20" s="35"/>
      <c r="O20" s="35">
        <f t="shared" si="1"/>
        <v>-126837.91173470086</v>
      </c>
      <c r="P20" s="19"/>
      <c r="Q20" s="35"/>
      <c r="R20" s="35"/>
      <c r="S20" s="35"/>
      <c r="T20" s="35"/>
      <c r="U20" s="35"/>
      <c r="V20" s="35"/>
      <c r="W20" s="35"/>
      <c r="X20" s="35"/>
      <c r="Y20" s="35"/>
      <c r="Z20" s="35"/>
      <c r="AA20" s="35"/>
      <c r="AB20" s="35"/>
      <c r="AC20" s="35"/>
    </row>
    <row r="21" spans="1:29" x14ac:dyDescent="0.25">
      <c r="A21" s="13">
        <v>8</v>
      </c>
      <c r="B21" s="24">
        <f>'Actuarial balances'!E40</f>
        <v>4399886.2555215331</v>
      </c>
      <c r="C21" s="24">
        <f>'Invested asset rollforwards'!H23</f>
        <v>1511868.2471097445</v>
      </c>
      <c r="D21" s="24">
        <f>-'Actuarial balances'!K40</f>
        <v>-87019.972609203614</v>
      </c>
      <c r="E21" s="24">
        <f>-'Actuarial balances'!L40</f>
        <v>-1854422.9933721637</v>
      </c>
      <c r="F21" s="24">
        <f>'Actuarial balances'!F61-'Actuarial balances'!F62</f>
        <v>-3232652.7033418976</v>
      </c>
      <c r="G21" s="24">
        <v>0</v>
      </c>
      <c r="H21" s="24">
        <f>-'Actuarial balances'!G40</f>
        <v>-19654.779981684722</v>
      </c>
      <c r="I21" s="24">
        <f>-'Actuarial balances'!I40</f>
        <v>-870.19972609203626</v>
      </c>
      <c r="J21" s="24">
        <f>-B21*Input!K25</f>
        <v>-98997.440749234491</v>
      </c>
      <c r="K21" s="24">
        <f>'Actuarial balances'!C99</f>
        <v>-492189.87287897652</v>
      </c>
      <c r="L21" s="24">
        <f t="shared" si="0"/>
        <v>125946.53997202532</v>
      </c>
      <c r="N21" s="35"/>
      <c r="O21" s="35">
        <f t="shared" si="1"/>
        <v>-119522.42045701125</v>
      </c>
      <c r="P21" s="19"/>
      <c r="Q21" s="35"/>
      <c r="R21" s="35"/>
      <c r="S21" s="35"/>
      <c r="T21" s="35"/>
      <c r="U21" s="35"/>
      <c r="V21" s="35"/>
      <c r="W21" s="35"/>
      <c r="X21" s="35"/>
      <c r="Y21" s="35"/>
      <c r="Z21" s="35"/>
      <c r="AA21" s="35"/>
      <c r="AB21" s="35"/>
      <c r="AC21" s="35"/>
    </row>
    <row r="22" spans="1:29" x14ac:dyDescent="0.25">
      <c r="A22" s="13">
        <v>9</v>
      </c>
      <c r="B22" s="24">
        <f>'Actuarial balances'!E41</f>
        <v>4172451.73508737</v>
      </c>
      <c r="C22" s="24">
        <f>'Invested asset rollforwards'!H24</f>
        <v>1660752.9097041695</v>
      </c>
      <c r="D22" s="24">
        <f>-'Actuarial balances'!K41</f>
        <v>-93184.75541695123</v>
      </c>
      <c r="E22" s="24">
        <f>-'Actuarial balances'!L41</f>
        <v>-1610105.1747452726</v>
      </c>
      <c r="F22" s="24">
        <f>'Actuarial balances'!F62-'Actuarial balances'!F63</f>
        <v>-3400159.2524330318</v>
      </c>
      <c r="G22" s="24">
        <v>0</v>
      </c>
      <c r="H22" s="24">
        <f>-'Actuarial balances'!G41</f>
        <v>-19011.580844644486</v>
      </c>
      <c r="I22" s="24">
        <f>-'Actuarial balances'!I41</f>
        <v>-931.84755416951236</v>
      </c>
      <c r="J22" s="24">
        <f>-B22*Input!K26</f>
        <v>-93880.164039465817</v>
      </c>
      <c r="K22" s="24">
        <f>'Actuarial balances'!C100</f>
        <v>-466748.0861599893</v>
      </c>
      <c r="L22" s="24">
        <f t="shared" si="0"/>
        <v>149183.78359801491</v>
      </c>
      <c r="N22" s="35"/>
      <c r="O22" s="35">
        <f t="shared" si="1"/>
        <v>-113823.59243827981</v>
      </c>
      <c r="P22" s="19"/>
      <c r="Q22" s="35"/>
      <c r="R22" s="35"/>
      <c r="S22" s="35"/>
      <c r="T22" s="35"/>
      <c r="U22" s="35"/>
      <c r="V22" s="35"/>
      <c r="W22" s="35"/>
      <c r="X22" s="35"/>
      <c r="Y22" s="35"/>
      <c r="Z22" s="35"/>
      <c r="AA22" s="35"/>
      <c r="AB22" s="35"/>
      <c r="AC22" s="35"/>
    </row>
    <row r="23" spans="1:29" x14ac:dyDescent="0.25">
      <c r="A23" s="13">
        <v>10</v>
      </c>
      <c r="B23" s="24">
        <f>'Actuarial balances'!E42</f>
        <v>3997502.5028158505</v>
      </c>
      <c r="C23" s="24">
        <f>'Invested asset rollforwards'!H25</f>
        <v>1817846.8209474157</v>
      </c>
      <c r="D23" s="24">
        <f>-'Actuarial balances'!K42</f>
        <v>-99493.395625638892</v>
      </c>
      <c r="E23" s="24">
        <f>-'Actuarial balances'!L42</f>
        <v>-44317201.08010602</v>
      </c>
      <c r="F23" s="24">
        <f>'Actuarial balances'!F63-'Actuarial balances'!F64</f>
        <v>39331063.925859101</v>
      </c>
      <c r="G23" s="24">
        <v>0</v>
      </c>
      <c r="H23" s="24">
        <f>-'Actuarial balances'!G42</f>
        <v>-18578.721521750096</v>
      </c>
      <c r="I23" s="24">
        <f>-'Actuarial balances'!I42</f>
        <v>-994.93395625638902</v>
      </c>
      <c r="J23" s="24">
        <f>-B23*Input!K27</f>
        <v>-89943.806313356632</v>
      </c>
      <c r="K23" s="24">
        <f>'Actuarial balances'!C101</f>
        <v>-447177.52560653549</v>
      </c>
      <c r="L23" s="24">
        <f t="shared" si="0"/>
        <v>173023.7864928128</v>
      </c>
      <c r="N23" s="35"/>
      <c r="O23" s="35">
        <f t="shared" si="1"/>
        <v>-109517.46179136311</v>
      </c>
      <c r="P23" s="19"/>
      <c r="Q23" s="35"/>
      <c r="R23" s="35"/>
      <c r="S23" s="35"/>
      <c r="T23" s="35"/>
      <c r="U23" s="35"/>
      <c r="V23" s="35"/>
      <c r="W23" s="35"/>
      <c r="X23" s="35"/>
      <c r="Y23" s="35"/>
      <c r="Z23" s="35"/>
      <c r="AA23" s="35"/>
      <c r="AB23" s="35"/>
      <c r="AC23" s="35"/>
    </row>
    <row r="24" spans="1:29" x14ac:dyDescent="0.25">
      <c r="B24" s="24"/>
      <c r="C24" s="24"/>
      <c r="D24" s="24"/>
      <c r="E24" s="24">
        <f>-B14-D14-G14-H14-I14-J14</f>
        <v>-8598870</v>
      </c>
      <c r="F24" s="24"/>
      <c r="G24" s="24"/>
      <c r="H24" s="24"/>
      <c r="I24" s="24"/>
      <c r="J24" s="24"/>
      <c r="K24" s="24"/>
      <c r="L24" s="24"/>
      <c r="N24" s="35"/>
      <c r="O24" s="35"/>
      <c r="P24" s="19"/>
      <c r="Q24" s="35"/>
    </row>
    <row r="25" spans="1:29" x14ac:dyDescent="0.25">
      <c r="A25" s="4" t="s">
        <v>85</v>
      </c>
      <c r="B25" s="24"/>
      <c r="C25" s="24"/>
      <c r="D25" s="24"/>
      <c r="E25" s="24"/>
      <c r="F25" s="24"/>
      <c r="G25" s="24"/>
      <c r="H25" s="24"/>
      <c r="I25" s="24"/>
      <c r="J25" s="24"/>
      <c r="K25" s="24"/>
      <c r="L25" s="24"/>
      <c r="N25" s="35"/>
      <c r="O25" s="35"/>
      <c r="P25" s="19"/>
      <c r="Q25" s="35"/>
    </row>
    <row r="26" spans="1:29" x14ac:dyDescent="0.25">
      <c r="B26" s="24" t="s">
        <v>155</v>
      </c>
      <c r="C26" s="24"/>
      <c r="D26" s="24"/>
      <c r="E26" s="24"/>
      <c r="F26" s="24"/>
      <c r="G26" s="24"/>
      <c r="H26" s="24"/>
      <c r="I26" s="24"/>
      <c r="J26" s="24"/>
      <c r="K26" s="24"/>
      <c r="L26" s="24"/>
      <c r="N26" s="35"/>
      <c r="O26" s="35"/>
      <c r="P26" s="19"/>
      <c r="Q26" s="35"/>
    </row>
    <row r="27" spans="1:29" x14ac:dyDescent="0.25">
      <c r="B27" s="20"/>
      <c r="C27" s="20" t="s">
        <v>7</v>
      </c>
      <c r="D27" s="20"/>
      <c r="E27" s="20"/>
      <c r="F27" s="20"/>
      <c r="G27" s="20" t="s">
        <v>47</v>
      </c>
      <c r="H27" s="20"/>
      <c r="I27" s="20"/>
      <c r="J27" s="20"/>
      <c r="K27" s="20"/>
      <c r="N27" s="35"/>
      <c r="O27" s="35"/>
      <c r="P27" s="19"/>
      <c r="Q27" s="35"/>
    </row>
    <row r="28" spans="1:29" x14ac:dyDescent="0.25">
      <c r="A28" s="20" t="s">
        <v>0</v>
      </c>
      <c r="B28" s="20"/>
      <c r="C28" s="20" t="s">
        <v>8</v>
      </c>
      <c r="D28" s="20" t="s">
        <v>43</v>
      </c>
      <c r="E28" s="20" t="s">
        <v>11</v>
      </c>
      <c r="F28" s="20" t="s">
        <v>63</v>
      </c>
      <c r="G28" s="20" t="s">
        <v>27</v>
      </c>
      <c r="H28" s="20" t="s">
        <v>9</v>
      </c>
      <c r="I28" s="20" t="s">
        <v>98</v>
      </c>
      <c r="J28" s="20" t="s">
        <v>4</v>
      </c>
      <c r="K28" s="20" t="s">
        <v>13</v>
      </c>
      <c r="L28" s="20" t="s">
        <v>46</v>
      </c>
      <c r="N28" s="35"/>
      <c r="O28" s="35" t="s">
        <v>140</v>
      </c>
      <c r="P28" s="19"/>
      <c r="Q28" s="35"/>
    </row>
    <row r="29" spans="1:29" x14ac:dyDescent="0.25">
      <c r="A29" s="2" t="s">
        <v>1</v>
      </c>
      <c r="B29" s="2" t="s">
        <v>4</v>
      </c>
      <c r="C29" s="2" t="s">
        <v>42</v>
      </c>
      <c r="D29" s="2" t="s">
        <v>44</v>
      </c>
      <c r="E29" s="2" t="s">
        <v>44</v>
      </c>
      <c r="F29" s="2" t="s">
        <v>45</v>
      </c>
      <c r="G29" s="2" t="s">
        <v>37</v>
      </c>
      <c r="H29" s="2" t="s">
        <v>37</v>
      </c>
      <c r="I29" s="2" t="s">
        <v>37</v>
      </c>
      <c r="J29" s="2" t="s">
        <v>57</v>
      </c>
      <c r="K29" s="2" t="s">
        <v>19</v>
      </c>
      <c r="L29" s="2" t="s">
        <v>8</v>
      </c>
      <c r="N29" s="35"/>
      <c r="O29" s="2" t="s">
        <v>37</v>
      </c>
      <c r="P29" s="19"/>
      <c r="Q29" s="35"/>
    </row>
    <row r="30" spans="1:29" x14ac:dyDescent="0.25">
      <c r="N30" s="35"/>
      <c r="P30" s="19"/>
      <c r="Q30" s="35"/>
    </row>
    <row r="31" spans="1:29" x14ac:dyDescent="0.25">
      <c r="A31" s="13">
        <v>1</v>
      </c>
      <c r="B31" s="24">
        <f>'Actuarial balances'!E128</f>
        <v>9000000</v>
      </c>
      <c r="C31" s="24">
        <f>'Invested asset rollforwards'!H35</f>
        <v>96156.25</v>
      </c>
      <c r="D31" s="24">
        <f>-'Actuarial balances'!K128</f>
        <v>-63000</v>
      </c>
      <c r="E31" s="24">
        <f>-'Actuarial balances'!L128</f>
        <v>0</v>
      </c>
      <c r="F31" s="24">
        <f>'Actuarial balances'!F54-'Actuarial balances'!F55</f>
        <v>-7846420.4174484732</v>
      </c>
      <c r="G31" s="24">
        <f>-(Input!G39-Input!H39)*'Actuarial balances'!D109</f>
        <v>-100000</v>
      </c>
      <c r="H31" s="24">
        <f>-'Actuarial balances'!G128</f>
        <v>-35000</v>
      </c>
      <c r="I31" s="24">
        <f>-'Actuarial balances'!I128</f>
        <v>-630</v>
      </c>
      <c r="J31" s="24">
        <f>-B31*Input!K39</f>
        <v>-202500</v>
      </c>
      <c r="K31" s="24">
        <f>'Actuarial balances'!C92</f>
        <v>-1006778.0389440364</v>
      </c>
      <c r="L31" s="24">
        <f t="shared" ref="L31:L40" si="2">SUM(B31:K31)</f>
        <v>-158172.20639250951</v>
      </c>
      <c r="N31" s="35"/>
      <c r="O31" s="35">
        <f>SUM(G31:J31)</f>
        <v>-338130</v>
      </c>
      <c r="P31" s="19"/>
      <c r="Q31" s="35"/>
      <c r="R31" s="35"/>
      <c r="S31" s="35"/>
    </row>
    <row r="32" spans="1:29" x14ac:dyDescent="0.25">
      <c r="A32" s="13">
        <v>2</v>
      </c>
      <c r="B32" s="24">
        <f>'Actuarial balances'!E129</f>
        <v>7645180.5</v>
      </c>
      <c r="C32" s="24">
        <f>'Invested asset rollforwards'!H36</f>
        <v>420581.55178093177</v>
      </c>
      <c r="D32" s="24">
        <f>-'Actuarial balances'!K129</f>
        <v>-65408.766499999998</v>
      </c>
      <c r="E32" s="24">
        <f>-'Actuarial balances'!L129</f>
        <v>-1018572.4948019999</v>
      </c>
      <c r="F32" s="24">
        <f>'Actuarial balances'!F55-'Actuarial balances'!F56</f>
        <v>-5948528.4905635966</v>
      </c>
      <c r="G32" s="24">
        <v>0</v>
      </c>
      <c r="H32" s="24">
        <f>-'Actuarial balances'!G129</f>
        <v>-30325.882650000003</v>
      </c>
      <c r="I32" s="24">
        <f>-'Actuarial balances'!I129</f>
        <v>-654.08766500000002</v>
      </c>
      <c r="J32" s="24">
        <f>-B32*Input!K40</f>
        <v>-172016.56125</v>
      </c>
      <c r="K32" s="24">
        <f>'Actuarial balances'!C93</f>
        <v>-855222.20346257626</v>
      </c>
      <c r="L32" s="24">
        <f t="shared" si="2"/>
        <v>-24966.43511224119</v>
      </c>
      <c r="N32" s="35"/>
      <c r="O32" s="35">
        <f t="shared" ref="O32:O40" si="3">SUM(G32:J32)</f>
        <v>-202996.53156500001</v>
      </c>
      <c r="P32" s="19"/>
      <c r="Q32" s="35"/>
    </row>
    <row r="33" spans="1:17" x14ac:dyDescent="0.25">
      <c r="A33" s="13">
        <v>3</v>
      </c>
      <c r="B33" s="24">
        <f>'Actuarial balances'!E130</f>
        <v>6722578.4656932</v>
      </c>
      <c r="C33" s="24">
        <f>'Invested asset rollforwards'!H37</f>
        <v>671545.4770468676</v>
      </c>
      <c r="D33" s="24">
        <f>-'Actuarial balances'!K130</f>
        <v>-73948.363122625189</v>
      </c>
      <c r="E33" s="24">
        <f>-'Actuarial balances'!L130</f>
        <v>-1567048.7263695048</v>
      </c>
      <c r="F33" s="24">
        <f>'Actuarial balances'!F56-'Actuarial balances'!F57</f>
        <v>-4818498.560851194</v>
      </c>
      <c r="G33" s="24">
        <v>0</v>
      </c>
      <c r="H33" s="24">
        <f>-'Actuarial balances'!G130</f>
        <v>-27199.552472194689</v>
      </c>
      <c r="I33" s="24">
        <f>-'Actuarial balances'!I130</f>
        <v>-739.48363122625199</v>
      </c>
      <c r="J33" s="24">
        <f>-B33*Input!K41</f>
        <v>-151258.01547809699</v>
      </c>
      <c r="K33" s="24">
        <f>'Actuarial balances'!C94</f>
        <v>-752016.04048200091</v>
      </c>
      <c r="L33" s="24">
        <f t="shared" si="2"/>
        <v>3415.2003332249587</v>
      </c>
      <c r="N33" s="35"/>
      <c r="O33" s="35">
        <f t="shared" si="3"/>
        <v>-179197.05158151794</v>
      </c>
      <c r="P33" s="19"/>
      <c r="Q33" s="35"/>
    </row>
    <row r="34" spans="1:17" x14ac:dyDescent="0.25">
      <c r="A34" s="13">
        <v>4</v>
      </c>
      <c r="B34" s="24">
        <f>'Actuarial balances'!E131</f>
        <v>6044330.8017109474</v>
      </c>
      <c r="C34" s="24">
        <f>'Invested asset rollforwards'!H38</f>
        <v>880211.23723196576</v>
      </c>
      <c r="D34" s="24">
        <f>-'Actuarial balances'!K131</f>
        <v>-76561.523488338644</v>
      </c>
      <c r="E34" s="24">
        <f>-'Actuarial balances'!L131</f>
        <v>-1931980.8846710389</v>
      </c>
      <c r="F34" s="24">
        <f>'Actuarial balances'!F57-'Actuarial balances'!F58</f>
        <v>-4047558.9177236408</v>
      </c>
      <c r="G34" s="24">
        <v>0</v>
      </c>
      <c r="H34" s="24">
        <f>-'Actuarial balances'!G131</f>
        <v>-24944.469672196941</v>
      </c>
      <c r="I34" s="24">
        <f>-'Actuarial balances'!I131</f>
        <v>-765.61523488338662</v>
      </c>
      <c r="J34" s="24">
        <f>-B34*Input!K42</f>
        <v>-135997.44303849631</v>
      </c>
      <c r="K34" s="24">
        <f>'Actuarial balances'!C95</f>
        <v>-676144.39014173136</v>
      </c>
      <c r="L34" s="24">
        <f t="shared" si="2"/>
        <v>30588.794972586795</v>
      </c>
      <c r="N34" s="35"/>
      <c r="O34" s="35">
        <f t="shared" si="3"/>
        <v>-161707.52794557664</v>
      </c>
    </row>
    <row r="35" spans="1:17" x14ac:dyDescent="0.25">
      <c r="A35" s="13">
        <v>5</v>
      </c>
      <c r="B35" s="24">
        <f>'Actuarial balances'!E132</f>
        <v>5494070.6407832671</v>
      </c>
      <c r="C35" s="24">
        <f>'Invested asset rollforwards'!H39</f>
        <v>1058185.9970898889</v>
      </c>
      <c r="D35" s="24">
        <f>-'Actuarial balances'!K132</f>
        <v>-97672.366947258066</v>
      </c>
      <c r="E35" s="24">
        <f>-'Actuarial balances'!L132</f>
        <v>-2096595.9599430629</v>
      </c>
      <c r="F35" s="24">
        <f>'Actuarial balances'!F58-'Actuarial balances'!F154</f>
        <v>-3546903.4786455445</v>
      </c>
      <c r="G35" s="24">
        <v>0</v>
      </c>
      <c r="H35" s="24">
        <f>-'Actuarial balances'!G132</f>
        <v>-23127.061809038503</v>
      </c>
      <c r="I35" s="24">
        <f>-'Actuarial balances'!I132</f>
        <v>-976.7236694725807</v>
      </c>
      <c r="J35" s="24">
        <f>-B35*Input!K43</f>
        <v>-123616.5894176235</v>
      </c>
      <c r="K35" s="24">
        <f>'Actuarial balances'!D190-'Actuarial balances'!D95</f>
        <v>-615389.46599920979</v>
      </c>
      <c r="L35" s="24">
        <f t="shared" si="2"/>
        <v>47974.991441946593</v>
      </c>
      <c r="N35" s="35"/>
      <c r="O35" s="35">
        <f t="shared" si="3"/>
        <v>-147720.3748961346</v>
      </c>
      <c r="P35" s="67">
        <f>(L35-L18)/(D35-D18)</f>
        <v>0.39926126211921231</v>
      </c>
    </row>
    <row r="36" spans="1:17" x14ac:dyDescent="0.25">
      <c r="A36" s="13">
        <v>6</v>
      </c>
      <c r="B36" s="24">
        <f>'Actuarial balances'!E133</f>
        <v>5046457.7175373733</v>
      </c>
      <c r="C36" s="24">
        <f>'Invested asset rollforwards'!H40</f>
        <v>1216549.9502705771</v>
      </c>
      <c r="D36" s="24">
        <f>-'Actuarial balances'!K133</f>
        <v>-78500.453383914675</v>
      </c>
      <c r="E36" s="24">
        <f>-'Actuarial balances'!L133</f>
        <v>-2116544.9242277849</v>
      </c>
      <c r="F36" s="24">
        <f>'Actuarial balances'!F154-'Actuarial balances'!F155</f>
        <v>-3288715.1115524098</v>
      </c>
      <c r="G36" s="24">
        <v>0</v>
      </c>
      <c r="H36" s="24">
        <f>-'Actuarial balances'!G133</f>
        <v>-21667.710905919172</v>
      </c>
      <c r="I36" s="24">
        <f>-'Actuarial balances'!I133</f>
        <v>-785.0045338391468</v>
      </c>
      <c r="J36" s="24">
        <f>-B36*Input!K44</f>
        <v>-113545.29864459089</v>
      </c>
      <c r="K36" s="24">
        <f>'Actuarial balances'!C191</f>
        <v>-564518.08938625269</v>
      </c>
      <c r="L36" s="24">
        <f t="shared" si="2"/>
        <v>78731.075173238874</v>
      </c>
      <c r="N36" s="35"/>
      <c r="O36" s="35">
        <f t="shared" si="3"/>
        <v>-135998.01408434921</v>
      </c>
    </row>
    <row r="37" spans="1:17" x14ac:dyDescent="0.25">
      <c r="A37" s="13">
        <v>7</v>
      </c>
      <c r="B37" s="24">
        <f>'Actuarial balances'!E134</f>
        <v>4686635.1893615238</v>
      </c>
      <c r="C37" s="24">
        <f>'Invested asset rollforwards'!H41</f>
        <v>1365412.5402324775</v>
      </c>
      <c r="D37" s="24">
        <f>-'Actuarial balances'!K134</f>
        <v>-82276.484435457853</v>
      </c>
      <c r="E37" s="24">
        <f>-'Actuarial balances'!L134</f>
        <v>-2027666.4658303438</v>
      </c>
      <c r="F37" s="24">
        <f>'Actuarial balances'!F155-'Actuarial balances'!F156</f>
        <v>-3189016.3758266717</v>
      </c>
      <c r="G37" s="24">
        <v>0</v>
      </c>
      <c r="H37" s="24">
        <f>-'Actuarial balances'!G134</f>
        <v>-20525.214978563432</v>
      </c>
      <c r="I37" s="24">
        <f>-'Actuarial balances'!I134</f>
        <v>-822.76484435457837</v>
      </c>
      <c r="J37" s="24">
        <f>-B37*Input!K45</f>
        <v>-105449.29176063428</v>
      </c>
      <c r="K37" s="24">
        <f>'Actuarial balances'!C192</f>
        <v>-524266.82057683408</v>
      </c>
      <c r="L37" s="24">
        <f t="shared" si="2"/>
        <v>102024.31134114187</v>
      </c>
      <c r="M37" s="20"/>
      <c r="N37" s="35"/>
      <c r="O37" s="35">
        <f t="shared" si="3"/>
        <v>-126797.2715835523</v>
      </c>
    </row>
    <row r="38" spans="1:17" x14ac:dyDescent="0.25">
      <c r="A38" s="13">
        <v>8</v>
      </c>
      <c r="B38" s="24">
        <f>'Actuarial balances'!E135</f>
        <v>4398476.4874165924</v>
      </c>
      <c r="C38" s="24">
        <f>'Invested asset rollforwards'!H42</f>
        <v>1511293.1441406659</v>
      </c>
      <c r="D38" s="24">
        <f>-'Actuarial balances'!K135</f>
        <v>-86992.090528905916</v>
      </c>
      <c r="E38" s="24">
        <f>-'Actuarial balances'!L135</f>
        <v>-1853828.8174691293</v>
      </c>
      <c r="F38" s="24">
        <f>'Actuarial balances'!F156-'Actuarial balances'!F157</f>
        <v>-3232337.9906898029</v>
      </c>
      <c r="G38" s="24">
        <v>0</v>
      </c>
      <c r="H38" s="24">
        <f>-'Actuarial balances'!G135</f>
        <v>-19648.482391174733</v>
      </c>
      <c r="I38" s="24">
        <f>-'Actuarial balances'!I135</f>
        <v>-869.92090528905919</v>
      </c>
      <c r="J38" s="24">
        <f>-B38*Input!K46</f>
        <v>-98965.720966873327</v>
      </c>
      <c r="K38" s="24">
        <f>'Actuarial balances'!C193</f>
        <v>-492032.17026030336</v>
      </c>
      <c r="L38" s="24">
        <f t="shared" si="2"/>
        <v>125094.43834577879</v>
      </c>
      <c r="M38" s="20"/>
      <c r="N38" s="35"/>
      <c r="O38" s="35">
        <f t="shared" si="3"/>
        <v>-119484.12426333711</v>
      </c>
    </row>
    <row r="39" spans="1:17" x14ac:dyDescent="0.25">
      <c r="A39" s="13">
        <v>9</v>
      </c>
      <c r="B39" s="24">
        <f>'Actuarial balances'!E136</f>
        <v>4171114.8393055415</v>
      </c>
      <c r="C39" s="24">
        <f>'Invested asset rollforwards'!H43</f>
        <v>1660160.7477169365</v>
      </c>
      <c r="D39" s="24">
        <f>-'Actuarial balances'!K136</f>
        <v>-93154.898077823746</v>
      </c>
      <c r="E39" s="24">
        <f>-'Actuarial balances'!L136</f>
        <v>-1609589.2807450343</v>
      </c>
      <c r="F39" s="24">
        <f>'Actuarial balances'!F157-'Actuarial balances'!F158</f>
        <v>-3399778.0271898136</v>
      </c>
      <c r="G39" s="24">
        <v>0</v>
      </c>
      <c r="H39" s="24">
        <f>-'Actuarial balances'!G136</f>
        <v>-19005.489341650373</v>
      </c>
      <c r="I39" s="24">
        <f>-'Actuarial balances'!I136</f>
        <v>-931.54898077823748</v>
      </c>
      <c r="J39" s="24">
        <f>-B39*Input!K47</f>
        <v>-93850.083884374675</v>
      </c>
      <c r="K39" s="24">
        <f>'Actuarial balances'!C194</f>
        <v>-466598.53534737806</v>
      </c>
      <c r="L39" s="24">
        <f t="shared" si="2"/>
        <v>148367.7234556246</v>
      </c>
      <c r="N39" s="35"/>
      <c r="O39" s="35">
        <f t="shared" si="3"/>
        <v>-113787.12220680328</v>
      </c>
    </row>
    <row r="40" spans="1:17" x14ac:dyDescent="0.25">
      <c r="A40" s="13">
        <v>10</v>
      </c>
      <c r="B40" s="24">
        <f>'Actuarial balances'!E137</f>
        <v>3996221.662539396</v>
      </c>
      <c r="C40" s="24">
        <f>'Invested asset rollforwards'!H44</f>
        <v>1817234.4238392801</v>
      </c>
      <c r="D40" s="24">
        <f>-'Actuarial balances'!K137</f>
        <v>-99461.516934313826</v>
      </c>
      <c r="E40" s="24">
        <f>-'Actuarial balances'!L137</f>
        <v>-44303001.400170073</v>
      </c>
      <c r="F40" s="24">
        <f>'Actuarial balances'!F158-'Actuarial balances'!F159</f>
        <v>39317757.370491147</v>
      </c>
      <c r="G40" s="24">
        <v>0</v>
      </c>
      <c r="H40" s="24">
        <f>-'Actuarial balances'!G137</f>
        <v>-18572.768711265722</v>
      </c>
      <c r="I40" s="24">
        <f>-'Actuarial balances'!I137</f>
        <v>-994.61516934313818</v>
      </c>
      <c r="J40" s="24">
        <f>-B40*Input!K48</f>
        <v>-89914.987407136403</v>
      </c>
      <c r="K40" s="24">
        <f>'Actuarial balances'!C195</f>
        <v>-447034.24539967661</v>
      </c>
      <c r="L40" s="24">
        <f t="shared" si="2"/>
        <v>172233.92307801056</v>
      </c>
      <c r="N40" s="35"/>
      <c r="O40" s="35">
        <f t="shared" si="3"/>
        <v>-109482.37128774526</v>
      </c>
    </row>
    <row r="41" spans="1:17" x14ac:dyDescent="0.25">
      <c r="A41" s="2"/>
      <c r="B41" s="2"/>
      <c r="C41" s="2"/>
      <c r="D41" s="2"/>
      <c r="E41" s="2"/>
      <c r="F41" s="2"/>
      <c r="G41" s="2"/>
      <c r="H41" s="2"/>
      <c r="I41" s="2"/>
      <c r="J41" s="2"/>
      <c r="K41" s="2"/>
    </row>
    <row r="42" spans="1:17" x14ac:dyDescent="0.25">
      <c r="A42" s="4" t="s">
        <v>187</v>
      </c>
      <c r="F42" s="35"/>
      <c r="K42" s="35"/>
    </row>
    <row r="43" spans="1:17" x14ac:dyDescent="0.25">
      <c r="B43" s="24" t="s">
        <v>156</v>
      </c>
      <c r="C43" s="24"/>
      <c r="D43" s="24"/>
      <c r="E43" s="24"/>
      <c r="F43" s="24"/>
      <c r="G43" s="24"/>
      <c r="H43" s="24"/>
      <c r="I43" s="24"/>
      <c r="J43" s="24"/>
      <c r="K43" s="24"/>
      <c r="L43" s="35"/>
      <c r="M43" s="35"/>
    </row>
    <row r="44" spans="1:17" x14ac:dyDescent="0.25">
      <c r="B44" s="20"/>
      <c r="C44" s="20" t="s">
        <v>7</v>
      </c>
      <c r="D44" s="20"/>
      <c r="E44" s="20"/>
      <c r="F44" s="20"/>
      <c r="G44" s="20" t="s">
        <v>47</v>
      </c>
      <c r="H44" s="20"/>
      <c r="I44" s="20"/>
      <c r="J44" s="20"/>
      <c r="K44" s="20"/>
    </row>
    <row r="45" spans="1:17" x14ac:dyDescent="0.25">
      <c r="A45" s="20" t="s">
        <v>0</v>
      </c>
      <c r="B45" s="20"/>
      <c r="C45" s="20" t="s">
        <v>8</v>
      </c>
      <c r="D45" s="20" t="s">
        <v>43</v>
      </c>
      <c r="E45" s="20" t="s">
        <v>11</v>
      </c>
      <c r="F45" s="20" t="s">
        <v>63</v>
      </c>
      <c r="G45" s="20" t="s">
        <v>27</v>
      </c>
      <c r="H45" s="20" t="s">
        <v>9</v>
      </c>
      <c r="I45" s="20" t="s">
        <v>98</v>
      </c>
      <c r="J45" s="20" t="s">
        <v>4</v>
      </c>
      <c r="K45" s="20" t="s">
        <v>13</v>
      </c>
      <c r="L45" s="20" t="s">
        <v>46</v>
      </c>
    </row>
    <row r="46" spans="1:17" x14ac:dyDescent="0.25">
      <c r="A46" s="2" t="s">
        <v>1</v>
      </c>
      <c r="B46" s="2" t="s">
        <v>4</v>
      </c>
      <c r="C46" s="2" t="s">
        <v>42</v>
      </c>
      <c r="D46" s="2" t="s">
        <v>44</v>
      </c>
      <c r="E46" s="2" t="s">
        <v>44</v>
      </c>
      <c r="F46" s="2" t="s">
        <v>45</v>
      </c>
      <c r="G46" s="2" t="s">
        <v>37</v>
      </c>
      <c r="H46" s="2" t="s">
        <v>37</v>
      </c>
      <c r="I46" s="2" t="s">
        <v>37</v>
      </c>
      <c r="J46" s="2" t="s">
        <v>57</v>
      </c>
      <c r="K46" s="2" t="s">
        <v>19</v>
      </c>
      <c r="L46" s="2" t="s">
        <v>8</v>
      </c>
      <c r="O46" s="2" t="s">
        <v>37</v>
      </c>
    </row>
    <row r="48" spans="1:17" x14ac:dyDescent="0.25">
      <c r="A48" s="13">
        <v>1</v>
      </c>
      <c r="B48" s="24">
        <f>'Actuarial balances'!E222</f>
        <v>9000000</v>
      </c>
      <c r="C48" s="24">
        <f>'Invested asset rollforwards'!H54</f>
        <v>96156.25</v>
      </c>
      <c r="D48" s="24">
        <f>-'Actuarial balances'!K222</f>
        <v>-63000</v>
      </c>
      <c r="E48" s="24">
        <f>-'Actuarial balances'!L222</f>
        <v>0</v>
      </c>
      <c r="F48" s="24">
        <f>'Actuarial balances'!F54-'Actuarial balances'!F55</f>
        <v>-7846420.4174484732</v>
      </c>
      <c r="G48" s="24">
        <f>-(Input!G60-Input!H60)*'Actuarial balances'!D203</f>
        <v>-100000</v>
      </c>
      <c r="H48" s="24">
        <f>-'Actuarial balances'!G222</f>
        <v>-35000</v>
      </c>
      <c r="I48" s="24">
        <f>-'Actuarial balances'!I222</f>
        <v>-630</v>
      </c>
      <c r="J48" s="24">
        <f>-B48*Input!K60</f>
        <v>-202500</v>
      </c>
      <c r="K48" s="24">
        <f>'Actuarial balances'!C92</f>
        <v>-1006778.0389440364</v>
      </c>
      <c r="L48" s="24">
        <f t="shared" ref="L48:L57" si="4">SUM(B48:K48)</f>
        <v>-158172.20639250951</v>
      </c>
      <c r="O48" s="35">
        <f>SUM(G48:J48)</f>
        <v>-338130</v>
      </c>
    </row>
    <row r="49" spans="1:15" x14ac:dyDescent="0.25">
      <c r="A49" s="13">
        <v>2</v>
      </c>
      <c r="B49" s="24">
        <f>'Actuarial balances'!E223</f>
        <v>7645180.5</v>
      </c>
      <c r="C49" s="24">
        <f>'Invested asset rollforwards'!H55</f>
        <v>420581.55178093177</v>
      </c>
      <c r="D49" s="24">
        <f>-'Actuarial balances'!K223</f>
        <v>-65408.766499999998</v>
      </c>
      <c r="E49" s="24">
        <f>-'Actuarial balances'!L223</f>
        <v>-1018572.4948019999</v>
      </c>
      <c r="F49" s="24">
        <f>'Actuarial balances'!F55-'Actuarial balances'!F56</f>
        <v>-5948528.4905635966</v>
      </c>
      <c r="G49" s="24">
        <v>0</v>
      </c>
      <c r="H49" s="24">
        <f>-'Actuarial balances'!G223</f>
        <v>-30325.882650000003</v>
      </c>
      <c r="I49" s="24">
        <f>-'Actuarial balances'!I223</f>
        <v>-654.08766500000002</v>
      </c>
      <c r="J49" s="24">
        <f>-B49*Input!K61</f>
        <v>-172016.56125</v>
      </c>
      <c r="K49" s="24">
        <f>'Actuarial balances'!C93</f>
        <v>-855222.20346257626</v>
      </c>
      <c r="L49" s="24">
        <f t="shared" si="4"/>
        <v>-24966.43511224119</v>
      </c>
      <c r="O49" s="35">
        <f t="shared" ref="O49:O57" si="5">SUM(G49:J49)</f>
        <v>-202996.53156500001</v>
      </c>
    </row>
    <row r="50" spans="1:15" x14ac:dyDescent="0.25">
      <c r="A50" s="13">
        <v>3</v>
      </c>
      <c r="B50" s="24">
        <f>'Actuarial balances'!E224</f>
        <v>6722578.4656932</v>
      </c>
      <c r="C50" s="24">
        <f>'Invested asset rollforwards'!H56</f>
        <v>671545.4770468676</v>
      </c>
      <c r="D50" s="24">
        <f>-'Actuarial balances'!K224</f>
        <v>-73948.363122625189</v>
      </c>
      <c r="E50" s="24">
        <f>-'Actuarial balances'!L224</f>
        <v>-1567048.7263695048</v>
      </c>
      <c r="F50" s="24">
        <f>'Actuarial balances'!F56-'Actuarial balances'!F57</f>
        <v>-4818498.560851194</v>
      </c>
      <c r="G50" s="24">
        <v>0</v>
      </c>
      <c r="H50" s="24">
        <f>-'Actuarial balances'!G224</f>
        <v>-27199.552472194689</v>
      </c>
      <c r="I50" s="24">
        <f>-'Actuarial balances'!I224</f>
        <v>-739.48363122625199</v>
      </c>
      <c r="J50" s="24">
        <f>-B50*Input!K62</f>
        <v>-151258.01547809699</v>
      </c>
      <c r="K50" s="24">
        <f>'Actuarial balances'!C94</f>
        <v>-752016.04048200091</v>
      </c>
      <c r="L50" s="24">
        <f t="shared" si="4"/>
        <v>3415.2003332249587</v>
      </c>
      <c r="O50" s="35">
        <f t="shared" si="5"/>
        <v>-179197.05158151794</v>
      </c>
    </row>
    <row r="51" spans="1:15" x14ac:dyDescent="0.25">
      <c r="A51" s="13">
        <v>4</v>
      </c>
      <c r="B51" s="24">
        <f>'Actuarial balances'!E225</f>
        <v>6044330.8017109474</v>
      </c>
      <c r="C51" s="24">
        <f>'Invested asset rollforwards'!H57</f>
        <v>880211.23723196576</v>
      </c>
      <c r="D51" s="24">
        <f>-'Actuarial balances'!K225</f>
        <v>-76561.523488338644</v>
      </c>
      <c r="E51" s="24">
        <f>-'Actuarial balances'!L225</f>
        <v>-1931980.8846710389</v>
      </c>
      <c r="F51" s="24">
        <f>'Actuarial balances'!F57-'Actuarial balances'!F58</f>
        <v>-4047558.9177236408</v>
      </c>
      <c r="G51" s="24">
        <v>0</v>
      </c>
      <c r="H51" s="24">
        <f>-'Actuarial balances'!G225</f>
        <v>-24944.469672196941</v>
      </c>
      <c r="I51" s="24">
        <f>-'Actuarial balances'!I225</f>
        <v>-765.61523488338662</v>
      </c>
      <c r="J51" s="24">
        <f>-B51*Input!K63</f>
        <v>-135997.44303849631</v>
      </c>
      <c r="K51" s="24">
        <f>'Actuarial balances'!C95</f>
        <v>-676144.39014173136</v>
      </c>
      <c r="L51" s="24">
        <f t="shared" si="4"/>
        <v>30588.794972586795</v>
      </c>
      <c r="O51" s="35">
        <f t="shared" si="5"/>
        <v>-161707.52794557664</v>
      </c>
    </row>
    <row r="52" spans="1:15" x14ac:dyDescent="0.25">
      <c r="A52" s="13">
        <v>5</v>
      </c>
      <c r="B52" s="24">
        <f>'Actuarial balances'!E226</f>
        <v>5494070.6407832671</v>
      </c>
      <c r="C52" s="24">
        <f>'Invested asset rollforwards'!H58</f>
        <v>1058185.9970898889</v>
      </c>
      <c r="D52" s="24">
        <f>-'Actuarial balances'!K226</f>
        <v>-97672.366947258066</v>
      </c>
      <c r="E52" s="24">
        <f>-'Actuarial balances'!L226</f>
        <v>-2096595.9599430629</v>
      </c>
      <c r="F52" s="24">
        <f>'Actuarial balances'!F58-'Actuarial balances'!F248</f>
        <v>-3549815.6736583598</v>
      </c>
      <c r="G52" s="24">
        <v>0</v>
      </c>
      <c r="H52" s="24">
        <f>-'Actuarial balances'!G226</f>
        <v>-23127.061809038503</v>
      </c>
      <c r="I52" s="24">
        <f>-'Actuarial balances'!I226</f>
        <v>-976.7236694725807</v>
      </c>
      <c r="J52" s="24">
        <f>-B52*Input!K64</f>
        <v>-123616.5894176235</v>
      </c>
      <c r="K52" s="24">
        <f>'Actuarial balances'!D284-'Actuarial balances'!D95</f>
        <v>-615389.46599920979</v>
      </c>
      <c r="L52" s="24">
        <f t="shared" si="4"/>
        <v>45062.796429131296</v>
      </c>
      <c r="N52" s="35"/>
      <c r="O52" s="35">
        <f t="shared" si="5"/>
        <v>-147720.3748961346</v>
      </c>
    </row>
    <row r="53" spans="1:15" x14ac:dyDescent="0.25">
      <c r="A53" s="13">
        <v>6</v>
      </c>
      <c r="B53" s="24">
        <f>'Actuarial balances'!E227</f>
        <v>5046457.7175373733</v>
      </c>
      <c r="C53" s="24">
        <f>'Invested asset rollforwards'!H59</f>
        <v>1216673.7185586216</v>
      </c>
      <c r="D53" s="24">
        <f>-'Actuarial balances'!K227</f>
        <v>-82425.476053110411</v>
      </c>
      <c r="E53" s="24">
        <f>-'Actuarial balances'!L227</f>
        <v>-2116396.5583708896</v>
      </c>
      <c r="F53" s="24">
        <f>'Actuarial balances'!F248-'Actuarial balances'!F249</f>
        <v>-3285400.6146315672</v>
      </c>
      <c r="G53" s="24">
        <v>0</v>
      </c>
      <c r="H53" s="24">
        <f>-'Actuarial balances'!G227</f>
        <v>-21667.710905919172</v>
      </c>
      <c r="I53" s="24">
        <f>-'Actuarial balances'!I227</f>
        <v>-824.25476053110413</v>
      </c>
      <c r="J53" s="24">
        <f>-B53*Input!K65</f>
        <v>-113545.29864459089</v>
      </c>
      <c r="K53" s="24">
        <f>'Actuarial balances'!C285</f>
        <v>-564602.5048599164</v>
      </c>
      <c r="L53" s="24">
        <f t="shared" si="4"/>
        <v>78269.017869470175</v>
      </c>
      <c r="O53" s="35">
        <f t="shared" si="5"/>
        <v>-136037.26431104116</v>
      </c>
    </row>
    <row r="54" spans="1:15" x14ac:dyDescent="0.25">
      <c r="A54" s="13">
        <v>7</v>
      </c>
      <c r="B54" s="24">
        <f>'Actuarial balances'!E228</f>
        <v>4686306.6649641115</v>
      </c>
      <c r="C54" s="24">
        <f>'Invested asset rollforwards'!H60</f>
        <v>1365385.4430717041</v>
      </c>
      <c r="D54" s="24">
        <f>-'Actuarial balances'!K228</f>
        <v>-86384.252857505126</v>
      </c>
      <c r="E54" s="24">
        <f>-'Actuarial balances'!L228</f>
        <v>-2027363.9022896718</v>
      </c>
      <c r="F54" s="24">
        <f>'Actuarial balances'!F249-'Actuarial balances'!F250</f>
        <v>-3185222.654198505</v>
      </c>
      <c r="G54" s="24">
        <v>0</v>
      </c>
      <c r="H54" s="24">
        <f>-'Actuarial balances'!G228</f>
        <v>-20523.776199223859</v>
      </c>
      <c r="I54" s="24">
        <f>-'Actuarial balances'!I228</f>
        <v>-863.84252857505123</v>
      </c>
      <c r="J54" s="24">
        <f>-B54*Input!K66</f>
        <v>-105441.8999616925</v>
      </c>
      <c r="K54" s="24">
        <f>'Actuarial balances'!C286</f>
        <v>-524308.46143532824</v>
      </c>
      <c r="L54" s="24">
        <f t="shared" si="4"/>
        <v>101583.31856531405</v>
      </c>
      <c r="O54" s="35">
        <f t="shared" si="5"/>
        <v>-126829.51868949141</v>
      </c>
    </row>
    <row r="55" spans="1:15" x14ac:dyDescent="0.25">
      <c r="A55" s="13">
        <v>8</v>
      </c>
      <c r="B55" s="24">
        <f>'Actuarial balances'!E229</f>
        <v>4397820.15727452</v>
      </c>
      <c r="C55" s="24">
        <f>'Invested asset rollforwards'!H61</f>
        <v>1511093.0287248855</v>
      </c>
      <c r="D55" s="24">
        <f>-'Actuarial balances'!K229</f>
        <v>-91328.065266067511</v>
      </c>
      <c r="E55" s="24">
        <f>-'Actuarial balances'!L229</f>
        <v>-1853386.9332580201</v>
      </c>
      <c r="F55" s="24">
        <f>'Actuarial balances'!F250-'Actuarial balances'!F251</f>
        <v>-3227991.1812029853</v>
      </c>
      <c r="G55" s="24">
        <v>0</v>
      </c>
      <c r="H55" s="24">
        <f>-'Actuarial balances'!G229</f>
        <v>-19645.550491623559</v>
      </c>
      <c r="I55" s="24">
        <f>-'Actuarial balances'!I229</f>
        <v>-913.28065266067517</v>
      </c>
      <c r="J55" s="24">
        <f>-B55*Input!K67</f>
        <v>-98950.953538676695</v>
      </c>
      <c r="K55" s="24">
        <f>'Actuarial balances'!C287</f>
        <v>-492032.31567593868</v>
      </c>
      <c r="L55" s="24">
        <f t="shared" si="4"/>
        <v>124664.90591343312</v>
      </c>
      <c r="O55" s="35">
        <f t="shared" si="5"/>
        <v>-119509.78468296093</v>
      </c>
    </row>
    <row r="56" spans="1:15" x14ac:dyDescent="0.25">
      <c r="A56" s="13">
        <v>9</v>
      </c>
      <c r="B56" s="24">
        <f>'Actuarial balances'!E230</f>
        <v>4170120.5998305455</v>
      </c>
      <c r="C56" s="24">
        <f>'Invested asset rollforwards'!H62</f>
        <v>1659761.9289852879</v>
      </c>
      <c r="D56" s="24">
        <f>-'Actuarial balances'!K230</f>
        <v>-97789.328066026268</v>
      </c>
      <c r="E56" s="24">
        <f>-'Actuarial balances'!L230</f>
        <v>-1609043.5633177795</v>
      </c>
      <c r="F56" s="24">
        <f>'Actuarial balances'!F251-'Actuarial balances'!F252</f>
        <v>-3394745.322179839</v>
      </c>
      <c r="G56" s="24">
        <v>0</v>
      </c>
      <c r="H56" s="24">
        <f>-'Actuarial balances'!G230</f>
        <v>-19000.959136064317</v>
      </c>
      <c r="I56" s="24">
        <f>-'Actuarial balances'!I230</f>
        <v>-977.89328066026269</v>
      </c>
      <c r="J56" s="24">
        <f>-B56*Input!K68</f>
        <v>-93827.713496187265</v>
      </c>
      <c r="K56" s="24">
        <f>'Actuarial balances'!C288</f>
        <v>-466557.07191404328</v>
      </c>
      <c r="L56" s="24">
        <f t="shared" si="4"/>
        <v>147940.67742523446</v>
      </c>
      <c r="O56" s="35">
        <f t="shared" si="5"/>
        <v>-113806.56591291184</v>
      </c>
    </row>
    <row r="57" spans="1:15" x14ac:dyDescent="0.25">
      <c r="A57" s="13">
        <v>10</v>
      </c>
      <c r="B57" s="24">
        <f>'Actuarial balances'!E231</f>
        <v>3994866.7778924187</v>
      </c>
      <c r="C57" s="24">
        <f>'Invested asset rollforwards'!H63</f>
        <v>1816605.0454820455</v>
      </c>
      <c r="D57" s="24">
        <f>-'Actuarial balances'!K231</f>
        <v>-104399.18512892186</v>
      </c>
      <c r="E57" s="24">
        <f>-'Actuarial balances'!L231</f>
        <v>-44283009.45812016</v>
      </c>
      <c r="F57" s="24">
        <f>'Actuarial balances'!F252-'Actuarial balances'!F253</f>
        <v>39304181.832458161</v>
      </c>
      <c r="G57" s="24">
        <v>0</v>
      </c>
      <c r="H57" s="24">
        <f>-'Actuarial balances'!G231</f>
        <v>-18566.471773482055</v>
      </c>
      <c r="I57" s="24">
        <f>-'Actuarial balances'!I231</f>
        <v>-1043.9918512892186</v>
      </c>
      <c r="J57" s="24">
        <f>-B57*Input!K69</f>
        <v>-89884.502502579417</v>
      </c>
      <c r="K57" s="24">
        <f>'Actuarial balances'!C289</f>
        <v>-446949.50708521792</v>
      </c>
      <c r="L57" s="24">
        <f t="shared" si="4"/>
        <v>171800.53937097773</v>
      </c>
      <c r="O57" s="35">
        <f t="shared" si="5"/>
        <v>-109494.96612735069</v>
      </c>
    </row>
    <row r="58" spans="1:15" x14ac:dyDescent="0.25">
      <c r="B58" s="24"/>
      <c r="C58" s="24"/>
      <c r="D58" s="24"/>
      <c r="E58" s="24"/>
      <c r="F58" s="24"/>
      <c r="G58" s="24"/>
      <c r="H58" s="24"/>
      <c r="I58" s="24"/>
      <c r="J58" s="24"/>
      <c r="K58" s="24"/>
    </row>
    <row r="59" spans="1:15" x14ac:dyDescent="0.25">
      <c r="B59" s="24"/>
      <c r="C59" s="24"/>
      <c r="D59" s="24"/>
      <c r="E59" s="24"/>
      <c r="F59" s="24"/>
      <c r="G59" s="24"/>
      <c r="H59" s="24"/>
      <c r="I59" s="24"/>
      <c r="J59" s="24"/>
      <c r="K59" s="24"/>
    </row>
    <row r="60" spans="1:15" x14ac:dyDescent="0.25">
      <c r="B60" s="24"/>
      <c r="C60" s="24"/>
      <c r="D60" s="24"/>
      <c r="E60" s="24"/>
      <c r="F60" s="24"/>
      <c r="G60" s="24"/>
      <c r="H60" s="24"/>
      <c r="I60" s="24"/>
      <c r="J60" s="24"/>
      <c r="K60" s="24"/>
    </row>
    <row r="61" spans="1:15" x14ac:dyDescent="0.25">
      <c r="B61" s="24"/>
      <c r="C61" s="24"/>
      <c r="D61" s="24"/>
      <c r="E61" s="24"/>
      <c r="F61" s="24"/>
      <c r="G61" s="24"/>
      <c r="H61" s="24"/>
      <c r="I61" s="24"/>
      <c r="J61" s="24"/>
      <c r="K61" s="24"/>
    </row>
    <row r="62" spans="1:15" x14ac:dyDescent="0.25">
      <c r="B62" s="24"/>
      <c r="C62" s="24"/>
      <c r="D62" s="24"/>
      <c r="E62" s="24"/>
      <c r="F62" s="24"/>
      <c r="G62" s="24"/>
      <c r="H62" s="24"/>
      <c r="I62" s="24"/>
      <c r="J62" s="24"/>
      <c r="K62" s="2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3"/>
  <sheetViews>
    <sheetView workbookViewId="0">
      <selection activeCell="A46" sqref="A46"/>
    </sheetView>
  </sheetViews>
  <sheetFormatPr defaultColWidth="8.7109375" defaultRowHeight="15" x14ac:dyDescent="0.25"/>
  <cols>
    <col min="1" max="1" width="30.140625" style="13" bestFit="1" customWidth="1"/>
    <col min="2" max="2" width="11" style="13" bestFit="1" customWidth="1"/>
    <col min="3" max="3" width="13" style="13" customWidth="1"/>
    <col min="4" max="4" width="11" style="13" bestFit="1" customWidth="1"/>
    <col min="5" max="5" width="11.5703125" style="13" bestFit="1" customWidth="1"/>
    <col min="6" max="7" width="11.5703125" style="13" customWidth="1"/>
    <col min="8" max="8" width="12.5703125" style="13" customWidth="1"/>
    <col min="9" max="9" width="10.5703125" style="13" bestFit="1" customWidth="1"/>
    <col min="10" max="10" width="12" style="13" customWidth="1"/>
    <col min="11" max="11" width="12.140625" style="13" customWidth="1"/>
    <col min="12" max="12" width="12.85546875" style="13" customWidth="1"/>
    <col min="13" max="16384" width="8.7109375" style="13"/>
  </cols>
  <sheetData>
    <row r="1" spans="1:12" x14ac:dyDescent="0.25">
      <c r="A1" s="14" t="s">
        <v>157</v>
      </c>
    </row>
    <row r="2" spans="1:12" x14ac:dyDescent="0.25">
      <c r="A2" s="6" t="s">
        <v>168</v>
      </c>
    </row>
    <row r="3" spans="1:12" x14ac:dyDescent="0.25">
      <c r="A3" s="16" t="s">
        <v>158</v>
      </c>
    </row>
    <row r="4" spans="1:12" x14ac:dyDescent="0.25">
      <c r="A4" s="17" t="s">
        <v>169</v>
      </c>
    </row>
    <row r="6" spans="1:12" x14ac:dyDescent="0.25">
      <c r="A6" s="1" t="s">
        <v>48</v>
      </c>
    </row>
    <row r="8" spans="1:12" x14ac:dyDescent="0.25">
      <c r="A8" s="1" t="s">
        <v>84</v>
      </c>
    </row>
    <row r="10" spans="1:12" x14ac:dyDescent="0.25">
      <c r="A10" s="3" t="s">
        <v>49</v>
      </c>
    </row>
    <row r="11" spans="1:12" x14ac:dyDescent="0.25">
      <c r="A11" s="3"/>
    </row>
    <row r="12" spans="1:12" x14ac:dyDescent="0.25">
      <c r="B12" s="20"/>
      <c r="C12" s="20" t="s">
        <v>25</v>
      </c>
      <c r="D12" s="20" t="s">
        <v>41</v>
      </c>
      <c r="E12" s="20"/>
      <c r="F12" s="20"/>
      <c r="G12" s="20"/>
      <c r="I12" s="20"/>
      <c r="J12" s="20"/>
      <c r="K12" s="20"/>
      <c r="L12" s="20" t="s">
        <v>51</v>
      </c>
    </row>
    <row r="13" spans="1:12" x14ac:dyDescent="0.25">
      <c r="A13" s="20" t="s">
        <v>0</v>
      </c>
      <c r="B13" s="20"/>
      <c r="C13" s="20" t="s">
        <v>10</v>
      </c>
      <c r="D13" s="20" t="s">
        <v>27</v>
      </c>
      <c r="E13" s="20" t="s">
        <v>9</v>
      </c>
      <c r="F13" s="20" t="s">
        <v>98</v>
      </c>
      <c r="G13" s="20" t="s">
        <v>4</v>
      </c>
      <c r="H13" s="20" t="s">
        <v>7</v>
      </c>
      <c r="I13" s="20" t="s">
        <v>43</v>
      </c>
      <c r="J13" s="20" t="s">
        <v>11</v>
      </c>
      <c r="K13" s="20" t="s">
        <v>16</v>
      </c>
      <c r="L13" s="20" t="s">
        <v>14</v>
      </c>
    </row>
    <row r="14" spans="1:12" x14ac:dyDescent="0.25">
      <c r="A14" s="2" t="s">
        <v>1</v>
      </c>
      <c r="B14" s="2" t="s">
        <v>4</v>
      </c>
      <c r="C14" s="2" t="s">
        <v>37</v>
      </c>
      <c r="D14" s="2" t="s">
        <v>37</v>
      </c>
      <c r="E14" s="2" t="s">
        <v>37</v>
      </c>
      <c r="F14" s="2" t="s">
        <v>37</v>
      </c>
      <c r="G14" s="2" t="s">
        <v>57</v>
      </c>
      <c r="H14" s="2" t="s">
        <v>8</v>
      </c>
      <c r="I14" s="2" t="s">
        <v>44</v>
      </c>
      <c r="J14" s="2" t="s">
        <v>44</v>
      </c>
      <c r="K14" s="2" t="s">
        <v>50</v>
      </c>
      <c r="L14" s="2" t="s">
        <v>35</v>
      </c>
    </row>
    <row r="15" spans="1:12" x14ac:dyDescent="0.25">
      <c r="D15" s="22"/>
      <c r="K15" s="29"/>
      <c r="L15" s="29">
        <v>0</v>
      </c>
    </row>
    <row r="16" spans="1:12" x14ac:dyDescent="0.25">
      <c r="A16" s="13">
        <v>1</v>
      </c>
      <c r="B16" s="29">
        <f>'Income statement'!B14</f>
        <v>9000000</v>
      </c>
      <c r="C16" s="29">
        <f>-'Actuarial balances'!D74</f>
        <v>-6400000</v>
      </c>
      <c r="D16" s="29">
        <f>'Income statement'!G14</f>
        <v>-100000</v>
      </c>
      <c r="E16" s="29">
        <f>'Income statement'!H14</f>
        <v>-35000</v>
      </c>
      <c r="F16" s="29">
        <f>'Income statement'!I14</f>
        <v>-630</v>
      </c>
      <c r="G16" s="29">
        <f>'Income statement'!J14</f>
        <v>-202500</v>
      </c>
      <c r="H16" s="29">
        <f>Input!C18*('Invested asset rollforwards'!L15+'Invested asset rollforwards'!B16+'Invested asset rollforwards'!C16+'Invested asset rollforwards'!D16+'Invested asset rollforwards'!E16+G16)</f>
        <v>96156.25</v>
      </c>
      <c r="I16" s="29">
        <f>'Income statement'!D14</f>
        <v>-63000</v>
      </c>
      <c r="J16" s="29">
        <f>'Income statement'!E14</f>
        <v>0</v>
      </c>
      <c r="K16" s="29">
        <f>-'Income statement'!L14</f>
        <v>158172.20639250951</v>
      </c>
      <c r="L16" s="29">
        <f t="shared" ref="L16:L25" si="0">L15+SUM(B16:K16)</f>
        <v>2453198.4563925094</v>
      </c>
    </row>
    <row r="17" spans="1:12" x14ac:dyDescent="0.25">
      <c r="A17" s="13">
        <v>2</v>
      </c>
      <c r="B17" s="29">
        <f>'Income statement'!B15</f>
        <v>7645180.5</v>
      </c>
      <c r="C17" s="29">
        <f>-'Actuarial balances'!D75</f>
        <v>0</v>
      </c>
      <c r="D17" s="29">
        <f>'Income statement'!G15</f>
        <v>0</v>
      </c>
      <c r="E17" s="29">
        <f>'Income statement'!H15</f>
        <v>-30325.882650000003</v>
      </c>
      <c r="F17" s="29">
        <f>'Income statement'!I15</f>
        <v>-654.08766500000002</v>
      </c>
      <c r="G17" s="29">
        <f>'Income statement'!J15</f>
        <v>-172016.56125</v>
      </c>
      <c r="H17" s="29">
        <f>Input!C19*('Invested asset rollforwards'!L16+'Invested asset rollforwards'!B17+'Invested asset rollforwards'!C17+'Invested asset rollforwards'!D17+'Invested asset rollforwards'!E17+G17)</f>
        <v>420581.55178093177</v>
      </c>
      <c r="I17" s="29">
        <f>'Income statement'!D15</f>
        <v>-65408.766499999998</v>
      </c>
      <c r="J17" s="29">
        <f>'Income statement'!E15</f>
        <v>-1018572.4948019999</v>
      </c>
      <c r="K17" s="29">
        <f>-'Income statement'!L15</f>
        <v>24966.43511224119</v>
      </c>
      <c r="L17" s="29">
        <f t="shared" si="0"/>
        <v>9256949.150418682</v>
      </c>
    </row>
    <row r="18" spans="1:12" x14ac:dyDescent="0.25">
      <c r="A18" s="13">
        <v>3</v>
      </c>
      <c r="B18" s="29">
        <f>'Income statement'!B16</f>
        <v>6722578.4656932</v>
      </c>
      <c r="C18" s="29">
        <f>-'Actuarial balances'!D76</f>
        <v>0</v>
      </c>
      <c r="D18" s="29">
        <f>'Income statement'!G16</f>
        <v>0</v>
      </c>
      <c r="E18" s="29">
        <f>'Income statement'!H16</f>
        <v>-27199.552472194689</v>
      </c>
      <c r="F18" s="29">
        <f>'Income statement'!I16</f>
        <v>-739.48363122625199</v>
      </c>
      <c r="G18" s="29">
        <f>'Income statement'!J16</f>
        <v>-151258.01547809699</v>
      </c>
      <c r="H18" s="29">
        <f>Input!C20*('Invested asset rollforwards'!L17+'Invested asset rollforwards'!B18+'Invested asset rollforwards'!C18+'Invested asset rollforwards'!D18+'Invested asset rollforwards'!E18+G18)</f>
        <v>671545.4770468676</v>
      </c>
      <c r="I18" s="29">
        <f>'Income statement'!D16</f>
        <v>-73948.363122625189</v>
      </c>
      <c r="J18" s="29">
        <f>'Income statement'!E16</f>
        <v>-1567048.7263695048</v>
      </c>
      <c r="K18" s="29">
        <f>-'Income statement'!L16</f>
        <v>-3415.2003332249587</v>
      </c>
      <c r="L18" s="29">
        <f t="shared" si="0"/>
        <v>14827463.751751877</v>
      </c>
    </row>
    <row r="19" spans="1:12" x14ac:dyDescent="0.25">
      <c r="A19" s="13">
        <v>4</v>
      </c>
      <c r="B19" s="29">
        <f>'Income statement'!B17</f>
        <v>6044330.8017109474</v>
      </c>
      <c r="C19" s="29">
        <f>-'Actuarial balances'!D77</f>
        <v>0</v>
      </c>
      <c r="D19" s="29">
        <f>'Income statement'!G17</f>
        <v>0</v>
      </c>
      <c r="E19" s="29">
        <f>'Income statement'!H17</f>
        <v>-24944.469672196941</v>
      </c>
      <c r="F19" s="29">
        <f>'Income statement'!I17</f>
        <v>-765.61523488338662</v>
      </c>
      <c r="G19" s="29">
        <f>'Income statement'!J17</f>
        <v>-135997.44303849631</v>
      </c>
      <c r="H19" s="29">
        <f>Input!C21*('Invested asset rollforwards'!L18+'Invested asset rollforwards'!B19+'Invested asset rollforwards'!C19+'Invested asset rollforwards'!D19+'Invested asset rollforwards'!E19+G19)</f>
        <v>880211.23723196576</v>
      </c>
      <c r="I19" s="29">
        <f>'Income statement'!D17</f>
        <v>-76561.523488338644</v>
      </c>
      <c r="J19" s="29">
        <f>'Income statement'!E17</f>
        <v>-1931980.8846710389</v>
      </c>
      <c r="K19" s="29">
        <f>-'Income statement'!L17</f>
        <v>-30588.794972586795</v>
      </c>
      <c r="L19" s="29">
        <f t="shared" si="0"/>
        <v>19551167.059617251</v>
      </c>
    </row>
    <row r="20" spans="1:12" x14ac:dyDescent="0.25">
      <c r="A20" s="13">
        <v>5</v>
      </c>
      <c r="B20" s="29">
        <f>'Income statement'!B18</f>
        <v>5494070.6407832671</v>
      </c>
      <c r="C20" s="29">
        <f>-'Actuarial balances'!D78</f>
        <v>0</v>
      </c>
      <c r="D20" s="29">
        <f>'Income statement'!G18</f>
        <v>0</v>
      </c>
      <c r="E20" s="29">
        <f>'Income statement'!H18</f>
        <v>-23127.061809038503</v>
      </c>
      <c r="F20" s="29">
        <f>'Income statement'!I18</f>
        <v>-781.37893557806456</v>
      </c>
      <c r="G20" s="29">
        <f>'Income statement'!J18</f>
        <v>-123616.5894176235</v>
      </c>
      <c r="H20" s="29">
        <f>Input!C22*('Invested asset rollforwards'!L19+'Invested asset rollforwards'!B20+'Invested asset rollforwards'!C20+'Invested asset rollforwards'!D20+'Invested asset rollforwards'!E20+G20)</f>
        <v>1058185.9970898889</v>
      </c>
      <c r="I20" s="29">
        <f>'Income statement'!D18</f>
        <v>-78137.89355780647</v>
      </c>
      <c r="J20" s="29">
        <f>'Income statement'!E18</f>
        <v>-2097267.9458276597</v>
      </c>
      <c r="K20" s="29">
        <f>-'Income statement'!L18</f>
        <v>-55774.349942253204</v>
      </c>
      <c r="L20" s="29">
        <f t="shared" si="0"/>
        <v>23724718.478000447</v>
      </c>
    </row>
    <row r="21" spans="1:12" x14ac:dyDescent="0.25">
      <c r="A21" s="13">
        <v>6</v>
      </c>
      <c r="B21" s="29">
        <f>'Income statement'!B19</f>
        <v>5048075.1719340198</v>
      </c>
      <c r="C21" s="29">
        <f>-'Actuarial balances'!D79</f>
        <v>0</v>
      </c>
      <c r="D21" s="29">
        <f>'Income statement'!G19</f>
        <v>0</v>
      </c>
      <c r="E21" s="29">
        <f>'Income statement'!H19</f>
        <v>-21674.655685055681</v>
      </c>
      <c r="F21" s="29">
        <f>'Income statement'!I19</f>
        <v>-785.2561378564028</v>
      </c>
      <c r="G21" s="29">
        <f>'Income statement'!J19</f>
        <v>-113581.69136851544</v>
      </c>
      <c r="H21" s="29">
        <f>Input!C23*('Invested asset rollforwards'!L20+'Invested asset rollforwards'!B21+'Invested asset rollforwards'!C21+'Invested asset rollforwards'!D21+'Invested asset rollforwards'!E21+G21)</f>
        <v>1217095.3353724382</v>
      </c>
      <c r="I21" s="29">
        <f>'Income statement'!D19</f>
        <v>-78525.613785640278</v>
      </c>
      <c r="J21" s="29">
        <f>'Income statement'!E19</f>
        <v>-2117223.3040111908</v>
      </c>
      <c r="K21" s="29">
        <f>-'Income statement'!L19</f>
        <v>-79690.963999873959</v>
      </c>
      <c r="L21" s="29">
        <f t="shared" si="0"/>
        <v>27578407.500318773</v>
      </c>
    </row>
    <row r="22" spans="1:12" x14ac:dyDescent="0.25">
      <c r="A22" s="13">
        <v>7</v>
      </c>
      <c r="B22" s="29">
        <f>'Income statement'!B20</f>
        <v>4688137.3160247803</v>
      </c>
      <c r="C22" s="29">
        <f>-'Actuarial balances'!D80</f>
        <v>0</v>
      </c>
      <c r="D22" s="29">
        <f>'Income statement'!G20</f>
        <v>0</v>
      </c>
      <c r="E22" s="29">
        <f>'Income statement'!H20</f>
        <v>-20531.79357310784</v>
      </c>
      <c r="F22" s="29">
        <f>'Income statement'!I20</f>
        <v>-823.02855103546108</v>
      </c>
      <c r="G22" s="29">
        <f>'Income statement'!J20</f>
        <v>-105483.08961055755</v>
      </c>
      <c r="H22" s="29">
        <f>Input!C24*('Invested asset rollforwards'!L21+'Invested asset rollforwards'!B22+'Invested asset rollforwards'!C22+'Invested asset rollforwards'!D22+'Invested asset rollforwards'!E22+G22)</f>
        <v>1365972.5221592954</v>
      </c>
      <c r="I22" s="29">
        <f>'Income statement'!D20</f>
        <v>-82302.855103546113</v>
      </c>
      <c r="J22" s="29">
        <f>'Income statement'!E20</f>
        <v>-2028316.3589283656</v>
      </c>
      <c r="K22" s="29">
        <f>-'Income statement'!L20</f>
        <v>-102923.72729756485</v>
      </c>
      <c r="L22" s="29">
        <f t="shared" si="0"/>
        <v>31292136.485438671</v>
      </c>
    </row>
    <row r="23" spans="1:12" x14ac:dyDescent="0.25">
      <c r="A23" s="13">
        <v>8</v>
      </c>
      <c r="B23" s="29">
        <f>'Income statement'!B21</f>
        <v>4399886.2555215331</v>
      </c>
      <c r="C23" s="29">
        <f>-'Actuarial balances'!D81</f>
        <v>0</v>
      </c>
      <c r="D23" s="29">
        <f>'Income statement'!G21</f>
        <v>0</v>
      </c>
      <c r="E23" s="29">
        <f>'Income statement'!H21</f>
        <v>-19654.779981684722</v>
      </c>
      <c r="F23" s="29">
        <f>'Income statement'!I21</f>
        <v>-870.19972609203626</v>
      </c>
      <c r="G23" s="29">
        <f>'Income statement'!J21</f>
        <v>-98997.440749234491</v>
      </c>
      <c r="H23" s="29">
        <f>Input!C25*('Invested asset rollforwards'!L22+'Invested asset rollforwards'!B23+'Invested asset rollforwards'!C23+'Invested asset rollforwards'!D23+'Invested asset rollforwards'!E23+G23)</f>
        <v>1511868.2471097445</v>
      </c>
      <c r="I23" s="29">
        <f>'Income statement'!D21</f>
        <v>-87019.972609203614</v>
      </c>
      <c r="J23" s="29">
        <f>'Income statement'!E21</f>
        <v>-1854422.9933721637</v>
      </c>
      <c r="K23" s="29">
        <f>-'Income statement'!L21</f>
        <v>-125946.53997202532</v>
      </c>
      <c r="L23" s="29">
        <f t="shared" si="0"/>
        <v>35016979.061659545</v>
      </c>
    </row>
    <row r="24" spans="1:12" x14ac:dyDescent="0.25">
      <c r="A24" s="13">
        <v>9</v>
      </c>
      <c r="B24" s="29">
        <f>'Income statement'!B22</f>
        <v>4172451.73508737</v>
      </c>
      <c r="C24" s="29">
        <f>-'Actuarial balances'!D82</f>
        <v>0</v>
      </c>
      <c r="D24" s="29">
        <f>'Income statement'!G22</f>
        <v>0</v>
      </c>
      <c r="E24" s="29">
        <f>'Income statement'!H22</f>
        <v>-19011.580844644486</v>
      </c>
      <c r="F24" s="29">
        <f>'Income statement'!I22</f>
        <v>-931.84755416951236</v>
      </c>
      <c r="G24" s="29">
        <f>'Income statement'!J22</f>
        <v>-93880.164039465817</v>
      </c>
      <c r="H24" s="29">
        <f>Input!C26*('Invested asset rollforwards'!L23+'Invested asset rollforwards'!B24+'Invested asset rollforwards'!C24+'Invested asset rollforwards'!D24+'Invested asset rollforwards'!E24+G24)</f>
        <v>1660752.9097041695</v>
      </c>
      <c r="I24" s="29">
        <f>'Income statement'!D22</f>
        <v>-93184.75541695123</v>
      </c>
      <c r="J24" s="29">
        <f>'Income statement'!E22</f>
        <v>-1610105.1747452726</v>
      </c>
      <c r="K24" s="29">
        <f>-'Income statement'!L22</f>
        <v>-149183.78359801491</v>
      </c>
      <c r="L24" s="29">
        <f t="shared" si="0"/>
        <v>38883886.400252566</v>
      </c>
    </row>
    <row r="25" spans="1:12" x14ac:dyDescent="0.25">
      <c r="A25" s="13">
        <v>10</v>
      </c>
      <c r="B25" s="29">
        <f>'Income statement'!B23</f>
        <v>3997502.5028158505</v>
      </c>
      <c r="C25" s="29">
        <f>-'Actuarial balances'!D83</f>
        <v>0</v>
      </c>
      <c r="D25" s="29">
        <f>'Income statement'!G23</f>
        <v>0</v>
      </c>
      <c r="E25" s="29">
        <f>'Income statement'!H23</f>
        <v>-18578.721521750096</v>
      </c>
      <c r="F25" s="29">
        <f>'Income statement'!I23</f>
        <v>-994.93395625638902</v>
      </c>
      <c r="G25" s="29">
        <f>'Income statement'!J23</f>
        <v>-89943.806313356632</v>
      </c>
      <c r="H25" s="29">
        <f>Input!C27*('Invested asset rollforwards'!L24+'Invested asset rollforwards'!B25+'Invested asset rollforwards'!C25+'Invested asset rollforwards'!D25+'Invested asset rollforwards'!E25+G25)</f>
        <v>1817846.8209474157</v>
      </c>
      <c r="I25" s="29">
        <f>'Income statement'!D23</f>
        <v>-99493.395625638892</v>
      </c>
      <c r="J25" s="29">
        <f>'Income statement'!E23</f>
        <v>-44317201.08010602</v>
      </c>
      <c r="K25" s="29">
        <f>-'Income statement'!L23</f>
        <v>-173023.7864928128</v>
      </c>
      <c r="L25" s="29">
        <f t="shared" si="0"/>
        <v>0</v>
      </c>
    </row>
    <row r="26" spans="1:12" x14ac:dyDescent="0.25">
      <c r="B26" s="29"/>
      <c r="C26" s="29"/>
      <c r="D26" s="29"/>
      <c r="E26" s="29"/>
      <c r="F26" s="29"/>
      <c r="G26" s="29"/>
      <c r="H26" s="29"/>
      <c r="I26" s="29"/>
      <c r="J26" s="29"/>
      <c r="K26" s="29"/>
      <c r="L26" s="29"/>
    </row>
    <row r="27" spans="1:12" x14ac:dyDescent="0.25">
      <c r="A27" s="4" t="s">
        <v>85</v>
      </c>
    </row>
    <row r="29" spans="1:12" x14ac:dyDescent="0.25">
      <c r="A29" s="3" t="s">
        <v>49</v>
      </c>
    </row>
    <row r="30" spans="1:12" x14ac:dyDescent="0.25">
      <c r="A30" s="3"/>
    </row>
    <row r="31" spans="1:12" x14ac:dyDescent="0.25">
      <c r="B31" s="20"/>
      <c r="C31" s="20" t="s">
        <v>25</v>
      </c>
      <c r="D31" s="20" t="s">
        <v>41</v>
      </c>
      <c r="E31" s="20"/>
      <c r="F31" s="20"/>
      <c r="G31" s="20"/>
      <c r="I31" s="20"/>
      <c r="J31" s="20"/>
      <c r="K31" s="20"/>
      <c r="L31" s="20" t="s">
        <v>51</v>
      </c>
    </row>
    <row r="32" spans="1:12" x14ac:dyDescent="0.25">
      <c r="A32" s="20" t="s">
        <v>0</v>
      </c>
      <c r="B32" s="20"/>
      <c r="C32" s="20" t="s">
        <v>10</v>
      </c>
      <c r="D32" s="20" t="s">
        <v>27</v>
      </c>
      <c r="E32" s="20" t="s">
        <v>9</v>
      </c>
      <c r="F32" s="20" t="s">
        <v>98</v>
      </c>
      <c r="G32" s="20" t="s">
        <v>4</v>
      </c>
      <c r="H32" s="20" t="s">
        <v>7</v>
      </c>
      <c r="I32" s="20" t="s">
        <v>43</v>
      </c>
      <c r="J32" s="20" t="s">
        <v>11</v>
      </c>
      <c r="K32" s="20" t="s">
        <v>16</v>
      </c>
      <c r="L32" s="20" t="s">
        <v>14</v>
      </c>
    </row>
    <row r="33" spans="1:12" x14ac:dyDescent="0.25">
      <c r="A33" s="2" t="s">
        <v>1</v>
      </c>
      <c r="B33" s="2" t="s">
        <v>4</v>
      </c>
      <c r="C33" s="2" t="s">
        <v>37</v>
      </c>
      <c r="D33" s="2" t="s">
        <v>37</v>
      </c>
      <c r="E33" s="2" t="s">
        <v>37</v>
      </c>
      <c r="F33" s="2" t="s">
        <v>37</v>
      </c>
      <c r="G33" s="2" t="s">
        <v>57</v>
      </c>
      <c r="H33" s="2" t="s">
        <v>8</v>
      </c>
      <c r="I33" s="2" t="s">
        <v>44</v>
      </c>
      <c r="J33" s="2" t="s">
        <v>44</v>
      </c>
      <c r="K33" s="2" t="s">
        <v>50</v>
      </c>
      <c r="L33" s="2" t="s">
        <v>35</v>
      </c>
    </row>
    <row r="34" spans="1:12" x14ac:dyDescent="0.25">
      <c r="D34" s="22"/>
      <c r="K34" s="29"/>
      <c r="L34" s="29">
        <v>0</v>
      </c>
    </row>
    <row r="35" spans="1:12" x14ac:dyDescent="0.25">
      <c r="A35" s="13">
        <v>1</v>
      </c>
      <c r="B35" s="29">
        <f>'Income statement'!B31</f>
        <v>9000000</v>
      </c>
      <c r="C35" s="29">
        <f>-'Actuarial balances'!D168</f>
        <v>-6400000</v>
      </c>
      <c r="D35" s="29">
        <f>'Income statement'!G31</f>
        <v>-100000</v>
      </c>
      <c r="E35" s="29">
        <f>'Income statement'!H31</f>
        <v>-35000</v>
      </c>
      <c r="F35" s="29">
        <f>'Income statement'!I31</f>
        <v>-630</v>
      </c>
      <c r="G35" s="29">
        <f>'Income statement'!J31</f>
        <v>-202500</v>
      </c>
      <c r="H35" s="29">
        <f>Input!C39*('Invested asset rollforwards'!L34+'Invested asset rollforwards'!B35+'Invested asset rollforwards'!C35+'Invested asset rollforwards'!D35+'Invested asset rollforwards'!E35+G35)</f>
        <v>96156.25</v>
      </c>
      <c r="I35" s="29">
        <f>'Income statement'!D31</f>
        <v>-63000</v>
      </c>
      <c r="J35" s="29">
        <f>'Income statement'!E31</f>
        <v>0</v>
      </c>
      <c r="K35" s="29">
        <f>-'Income statement'!L31</f>
        <v>158172.20639250951</v>
      </c>
      <c r="L35" s="29">
        <f t="shared" ref="L35:L44" si="1">L34+SUM(B35:K35)</f>
        <v>2453198.4563925094</v>
      </c>
    </row>
    <row r="36" spans="1:12" x14ac:dyDescent="0.25">
      <c r="A36" s="13">
        <v>2</v>
      </c>
      <c r="B36" s="29">
        <f>'Income statement'!B32</f>
        <v>7645180.5</v>
      </c>
      <c r="C36" s="29">
        <f>-'Actuarial balances'!D169</f>
        <v>0</v>
      </c>
      <c r="D36" s="29">
        <f>'Income statement'!G32</f>
        <v>0</v>
      </c>
      <c r="E36" s="29">
        <f>'Income statement'!H32</f>
        <v>-30325.882650000003</v>
      </c>
      <c r="F36" s="29">
        <f>'Income statement'!I32</f>
        <v>-654.08766500000002</v>
      </c>
      <c r="G36" s="29">
        <f>'Income statement'!J32</f>
        <v>-172016.56125</v>
      </c>
      <c r="H36" s="29">
        <f>Input!C40*('Invested asset rollforwards'!L35+'Invested asset rollforwards'!B36+'Invested asset rollforwards'!C36+'Invested asset rollforwards'!D36+'Invested asset rollforwards'!E36+G36)</f>
        <v>420581.55178093177</v>
      </c>
      <c r="I36" s="29">
        <f>'Income statement'!D32</f>
        <v>-65408.766499999998</v>
      </c>
      <c r="J36" s="29">
        <f>'Income statement'!E32</f>
        <v>-1018572.4948019999</v>
      </c>
      <c r="K36" s="29">
        <f>-'Income statement'!L32</f>
        <v>24966.43511224119</v>
      </c>
      <c r="L36" s="29">
        <f t="shared" si="1"/>
        <v>9256949.150418682</v>
      </c>
    </row>
    <row r="37" spans="1:12" x14ac:dyDescent="0.25">
      <c r="A37" s="13">
        <v>3</v>
      </c>
      <c r="B37" s="29">
        <f>'Income statement'!B33</f>
        <v>6722578.4656932</v>
      </c>
      <c r="C37" s="29">
        <f>-'Actuarial balances'!D170</f>
        <v>0</v>
      </c>
      <c r="D37" s="29">
        <f>'Income statement'!G33</f>
        <v>0</v>
      </c>
      <c r="E37" s="29">
        <f>'Income statement'!H33</f>
        <v>-27199.552472194689</v>
      </c>
      <c r="F37" s="29">
        <f>'Income statement'!I33</f>
        <v>-739.48363122625199</v>
      </c>
      <c r="G37" s="29">
        <f>'Income statement'!J33</f>
        <v>-151258.01547809699</v>
      </c>
      <c r="H37" s="29">
        <f>Input!C41*('Invested asset rollforwards'!L36+'Invested asset rollforwards'!B37+'Invested asset rollforwards'!C37+'Invested asset rollforwards'!D37+'Invested asset rollforwards'!E37+G37)</f>
        <v>671545.4770468676</v>
      </c>
      <c r="I37" s="29">
        <f>'Income statement'!D33</f>
        <v>-73948.363122625189</v>
      </c>
      <c r="J37" s="29">
        <f>'Income statement'!E33</f>
        <v>-1567048.7263695048</v>
      </c>
      <c r="K37" s="29">
        <f>-'Income statement'!L33</f>
        <v>-3415.2003332249587</v>
      </c>
      <c r="L37" s="29">
        <f t="shared" si="1"/>
        <v>14827463.751751877</v>
      </c>
    </row>
    <row r="38" spans="1:12" x14ac:dyDescent="0.25">
      <c r="A38" s="13">
        <v>4</v>
      </c>
      <c r="B38" s="29">
        <f>'Income statement'!B34</f>
        <v>6044330.8017109474</v>
      </c>
      <c r="C38" s="29">
        <f>-'Actuarial balances'!D171</f>
        <v>0</v>
      </c>
      <c r="D38" s="29">
        <f>'Income statement'!G34</f>
        <v>0</v>
      </c>
      <c r="E38" s="29">
        <f>'Income statement'!H34</f>
        <v>-24944.469672196941</v>
      </c>
      <c r="F38" s="29">
        <f>'Income statement'!I34</f>
        <v>-765.61523488338662</v>
      </c>
      <c r="G38" s="29">
        <f>'Income statement'!J34</f>
        <v>-135997.44303849631</v>
      </c>
      <c r="H38" s="29">
        <f>Input!C42*('Invested asset rollforwards'!L37+'Invested asset rollforwards'!B38+'Invested asset rollforwards'!C38+'Invested asset rollforwards'!D38+'Invested asset rollforwards'!E38+G38)</f>
        <v>880211.23723196576</v>
      </c>
      <c r="I38" s="29">
        <f>'Income statement'!D34</f>
        <v>-76561.523488338644</v>
      </c>
      <c r="J38" s="29">
        <f>'Income statement'!E34</f>
        <v>-1931980.8846710389</v>
      </c>
      <c r="K38" s="29">
        <f>-'Income statement'!L34</f>
        <v>-30588.794972586795</v>
      </c>
      <c r="L38" s="29">
        <f t="shared" si="1"/>
        <v>19551167.059617251</v>
      </c>
    </row>
    <row r="39" spans="1:12" x14ac:dyDescent="0.25">
      <c r="A39" s="13">
        <v>5</v>
      </c>
      <c r="B39" s="29">
        <f>'Income statement'!B35</f>
        <v>5494070.6407832671</v>
      </c>
      <c r="C39" s="29">
        <f>-'Actuarial balances'!D172</f>
        <v>0</v>
      </c>
      <c r="D39" s="29">
        <f>'Income statement'!G35</f>
        <v>0</v>
      </c>
      <c r="E39" s="29">
        <f>'Income statement'!H35</f>
        <v>-23127.061809038503</v>
      </c>
      <c r="F39" s="29">
        <f>'Income statement'!I35</f>
        <v>-976.7236694725807</v>
      </c>
      <c r="G39" s="29">
        <f>'Income statement'!J35</f>
        <v>-123616.5894176235</v>
      </c>
      <c r="H39" s="29">
        <f>Input!C43*('Invested asset rollforwards'!L38+'Invested asset rollforwards'!B39+'Invested asset rollforwards'!C39+'Invested asset rollforwards'!D39+'Invested asset rollforwards'!E39+G39)</f>
        <v>1058185.9970898889</v>
      </c>
      <c r="I39" s="29">
        <f>'Income statement'!D35</f>
        <v>-97672.366947258066</v>
      </c>
      <c r="J39" s="29">
        <f>'Income statement'!E35</f>
        <v>-2096595.9599430629</v>
      </c>
      <c r="K39" s="29">
        <f>-'Income statement'!L35</f>
        <v>-47974.991441946593</v>
      </c>
      <c r="L39" s="29">
        <f t="shared" si="1"/>
        <v>23713460.004262008</v>
      </c>
    </row>
    <row r="40" spans="1:12" x14ac:dyDescent="0.25">
      <c r="A40" s="13">
        <v>6</v>
      </c>
      <c r="B40" s="29">
        <f>'Income statement'!B36</f>
        <v>5046457.7175373733</v>
      </c>
      <c r="C40" s="29">
        <f>-'Actuarial balances'!D173</f>
        <v>0</v>
      </c>
      <c r="D40" s="29">
        <f>'Income statement'!G36</f>
        <v>0</v>
      </c>
      <c r="E40" s="29">
        <f>'Income statement'!H36</f>
        <v>-21667.710905919172</v>
      </c>
      <c r="F40" s="29">
        <f>'Income statement'!I36</f>
        <v>-785.0045338391468</v>
      </c>
      <c r="G40" s="29">
        <f>'Income statement'!J36</f>
        <v>-113545.29864459089</v>
      </c>
      <c r="H40" s="29">
        <f>Input!C44*('Invested asset rollforwards'!L39+'Invested asset rollforwards'!B40+'Invested asset rollforwards'!C40+'Invested asset rollforwards'!D40+'Invested asset rollforwards'!E40+G40)</f>
        <v>1216549.9502705771</v>
      </c>
      <c r="I40" s="29">
        <f>'Income statement'!D36</f>
        <v>-78500.453383914675</v>
      </c>
      <c r="J40" s="29">
        <f>'Income statement'!E36</f>
        <v>-2116544.9242277849</v>
      </c>
      <c r="K40" s="29">
        <f>-'Income statement'!L36</f>
        <v>-78731.075173238874</v>
      </c>
      <c r="L40" s="29">
        <f t="shared" si="1"/>
        <v>27566693.205200672</v>
      </c>
    </row>
    <row r="41" spans="1:12" x14ac:dyDescent="0.25">
      <c r="A41" s="13">
        <v>7</v>
      </c>
      <c r="B41" s="29">
        <f>'Income statement'!B37</f>
        <v>4686635.1893615238</v>
      </c>
      <c r="C41" s="29">
        <f>-'Actuarial balances'!D174</f>
        <v>0</v>
      </c>
      <c r="D41" s="29">
        <f>'Income statement'!G37</f>
        <v>0</v>
      </c>
      <c r="E41" s="29">
        <f>'Income statement'!H37</f>
        <v>-20525.214978563432</v>
      </c>
      <c r="F41" s="29">
        <f>'Income statement'!I37</f>
        <v>-822.76484435457837</v>
      </c>
      <c r="G41" s="29">
        <f>'Income statement'!J37</f>
        <v>-105449.29176063428</v>
      </c>
      <c r="H41" s="29">
        <f>Input!C45*('Invested asset rollforwards'!L40+'Invested asset rollforwards'!B41+'Invested asset rollforwards'!C41+'Invested asset rollforwards'!D41+'Invested asset rollforwards'!E41+G41)</f>
        <v>1365412.5402324775</v>
      </c>
      <c r="I41" s="29">
        <f>'Income statement'!D37</f>
        <v>-82276.484435457853</v>
      </c>
      <c r="J41" s="29">
        <f>'Income statement'!E37</f>
        <v>-2027666.4658303438</v>
      </c>
      <c r="K41" s="29">
        <f>-'Income statement'!L37</f>
        <v>-102024.31134114187</v>
      </c>
      <c r="L41" s="29">
        <f t="shared" si="1"/>
        <v>31279976.401604179</v>
      </c>
    </row>
    <row r="42" spans="1:12" x14ac:dyDescent="0.25">
      <c r="A42" s="13">
        <v>8</v>
      </c>
      <c r="B42" s="29">
        <f>'Income statement'!B38</f>
        <v>4398476.4874165924</v>
      </c>
      <c r="C42" s="29">
        <f>-'Actuarial balances'!D175</f>
        <v>0</v>
      </c>
      <c r="D42" s="29">
        <f>'Income statement'!G38</f>
        <v>0</v>
      </c>
      <c r="E42" s="29">
        <f>'Income statement'!H38</f>
        <v>-19648.482391174733</v>
      </c>
      <c r="F42" s="29">
        <f>'Income statement'!I38</f>
        <v>-869.92090528905919</v>
      </c>
      <c r="G42" s="29">
        <f>'Income statement'!J38</f>
        <v>-98965.720966873327</v>
      </c>
      <c r="H42" s="29">
        <f>Input!C46*('Invested asset rollforwards'!L41+'Invested asset rollforwards'!B42+'Invested asset rollforwards'!C42+'Invested asset rollforwards'!D42+'Invested asset rollforwards'!E42+G42)</f>
        <v>1511293.1441406659</v>
      </c>
      <c r="I42" s="29">
        <f>'Income statement'!D38</f>
        <v>-86992.090528905916</v>
      </c>
      <c r="J42" s="29">
        <f>'Income statement'!E38</f>
        <v>-1853828.8174691293</v>
      </c>
      <c r="K42" s="29">
        <f>-'Income statement'!L38</f>
        <v>-125094.43834577879</v>
      </c>
      <c r="L42" s="29">
        <f t="shared" si="1"/>
        <v>35004346.562554285</v>
      </c>
    </row>
    <row r="43" spans="1:12" x14ac:dyDescent="0.25">
      <c r="A43" s="13">
        <v>9</v>
      </c>
      <c r="B43" s="29">
        <f>'Income statement'!B39</f>
        <v>4171114.8393055415</v>
      </c>
      <c r="C43" s="29">
        <f>-'Actuarial balances'!D176</f>
        <v>0</v>
      </c>
      <c r="D43" s="29">
        <f>'Income statement'!G39</f>
        <v>0</v>
      </c>
      <c r="E43" s="29">
        <f>'Income statement'!H39</f>
        <v>-19005.489341650373</v>
      </c>
      <c r="F43" s="29">
        <f>'Income statement'!I39</f>
        <v>-931.54898077823748</v>
      </c>
      <c r="G43" s="29">
        <f>'Income statement'!J39</f>
        <v>-93850.083884374675</v>
      </c>
      <c r="H43" s="29">
        <f>Input!C47*('Invested asset rollforwards'!L42+'Invested asset rollforwards'!B43+'Invested asset rollforwards'!C43+'Invested asset rollforwards'!D43+'Invested asset rollforwards'!E43+G43)</f>
        <v>1660160.7477169365</v>
      </c>
      <c r="I43" s="29">
        <f>'Income statement'!D39</f>
        <v>-93154.898077823746</v>
      </c>
      <c r="J43" s="29">
        <f>'Income statement'!E39</f>
        <v>-1609589.2807450343</v>
      </c>
      <c r="K43" s="29">
        <f>-'Income statement'!L39</f>
        <v>-148367.7234556246</v>
      </c>
      <c r="L43" s="29">
        <f t="shared" si="1"/>
        <v>38870723.125091478</v>
      </c>
    </row>
    <row r="44" spans="1:12" x14ac:dyDescent="0.25">
      <c r="A44" s="13">
        <v>10</v>
      </c>
      <c r="B44" s="29">
        <f>'Income statement'!B40</f>
        <v>3996221.662539396</v>
      </c>
      <c r="C44" s="29">
        <f>-'Actuarial balances'!D177</f>
        <v>0</v>
      </c>
      <c r="D44" s="29">
        <f>'Income statement'!G40</f>
        <v>0</v>
      </c>
      <c r="E44" s="29">
        <f>'Income statement'!H40</f>
        <v>-18572.768711265722</v>
      </c>
      <c r="F44" s="29">
        <f>'Income statement'!I40</f>
        <v>-994.61516934313818</v>
      </c>
      <c r="G44" s="29">
        <f>'Income statement'!J40</f>
        <v>-89914.987407136403</v>
      </c>
      <c r="H44" s="29">
        <f>Input!C48*('Invested asset rollforwards'!L43+'Invested asset rollforwards'!B44+'Invested asset rollforwards'!C44+'Invested asset rollforwards'!D44+'Invested asset rollforwards'!E44+G44)</f>
        <v>1817234.4238392801</v>
      </c>
      <c r="I44" s="29">
        <f>'Income statement'!D40</f>
        <v>-99461.516934313826</v>
      </c>
      <c r="J44" s="29">
        <f>'Income statement'!E40</f>
        <v>-44303001.400170073</v>
      </c>
      <c r="K44" s="29">
        <f>-'Income statement'!L40</f>
        <v>-172233.92307801056</v>
      </c>
      <c r="L44" s="29">
        <f t="shared" si="1"/>
        <v>0</v>
      </c>
    </row>
    <row r="46" spans="1:12" x14ac:dyDescent="0.25">
      <c r="A46" s="4" t="s">
        <v>187</v>
      </c>
    </row>
    <row r="48" spans="1:12" x14ac:dyDescent="0.25">
      <c r="A48" s="3" t="s">
        <v>49</v>
      </c>
    </row>
    <row r="49" spans="1:12" x14ac:dyDescent="0.25">
      <c r="A49" s="3"/>
    </row>
    <row r="50" spans="1:12" x14ac:dyDescent="0.25">
      <c r="B50" s="20"/>
      <c r="C50" s="20" t="s">
        <v>25</v>
      </c>
      <c r="D50" s="20" t="s">
        <v>41</v>
      </c>
      <c r="E50" s="20"/>
      <c r="F50" s="20"/>
      <c r="G50" s="20"/>
      <c r="I50" s="20"/>
      <c r="J50" s="20"/>
      <c r="K50" s="20"/>
      <c r="L50" s="20" t="s">
        <v>51</v>
      </c>
    </row>
    <row r="51" spans="1:12" x14ac:dyDescent="0.25">
      <c r="A51" s="20" t="s">
        <v>0</v>
      </c>
      <c r="B51" s="20"/>
      <c r="C51" s="20" t="s">
        <v>10</v>
      </c>
      <c r="D51" s="20" t="s">
        <v>27</v>
      </c>
      <c r="E51" s="20" t="s">
        <v>9</v>
      </c>
      <c r="F51" s="20" t="s">
        <v>98</v>
      </c>
      <c r="G51" s="20" t="s">
        <v>4</v>
      </c>
      <c r="H51" s="20" t="s">
        <v>7</v>
      </c>
      <c r="I51" s="20" t="s">
        <v>43</v>
      </c>
      <c r="J51" s="20" t="s">
        <v>11</v>
      </c>
      <c r="K51" s="20" t="s">
        <v>16</v>
      </c>
      <c r="L51" s="20" t="s">
        <v>14</v>
      </c>
    </row>
    <row r="52" spans="1:12" x14ac:dyDescent="0.25">
      <c r="A52" s="2" t="s">
        <v>1</v>
      </c>
      <c r="B52" s="2" t="s">
        <v>4</v>
      </c>
      <c r="C52" s="2" t="s">
        <v>37</v>
      </c>
      <c r="D52" s="2" t="s">
        <v>37</v>
      </c>
      <c r="E52" s="2" t="s">
        <v>37</v>
      </c>
      <c r="F52" s="2" t="s">
        <v>37</v>
      </c>
      <c r="G52" s="2" t="s">
        <v>57</v>
      </c>
      <c r="H52" s="2" t="s">
        <v>8</v>
      </c>
      <c r="I52" s="2" t="s">
        <v>44</v>
      </c>
      <c r="J52" s="2" t="s">
        <v>44</v>
      </c>
      <c r="K52" s="2" t="s">
        <v>50</v>
      </c>
      <c r="L52" s="2" t="s">
        <v>35</v>
      </c>
    </row>
    <row r="53" spans="1:12" x14ac:dyDescent="0.25">
      <c r="D53" s="22"/>
      <c r="K53" s="29"/>
      <c r="L53" s="29">
        <v>0</v>
      </c>
    </row>
    <row r="54" spans="1:12" x14ac:dyDescent="0.25">
      <c r="A54" s="13">
        <v>1</v>
      </c>
      <c r="B54" s="29">
        <f>'Income statement'!B48</f>
        <v>9000000</v>
      </c>
      <c r="C54" s="29">
        <f>-'Actuarial balances'!D262</f>
        <v>-6400000</v>
      </c>
      <c r="D54" s="29">
        <f>'Income statement'!G48</f>
        <v>-100000</v>
      </c>
      <c r="E54" s="29">
        <f>'Income statement'!H48</f>
        <v>-35000</v>
      </c>
      <c r="F54" s="29">
        <f>'Income statement'!I48</f>
        <v>-630</v>
      </c>
      <c r="G54" s="29">
        <f>'Income statement'!J48</f>
        <v>-202500</v>
      </c>
      <c r="H54" s="29">
        <f>Input!C60*('Invested asset rollforwards'!L53+'Invested asset rollforwards'!B54+'Invested asset rollforwards'!C54+'Invested asset rollforwards'!D54+'Invested asset rollforwards'!E54+G54)</f>
        <v>96156.25</v>
      </c>
      <c r="I54" s="29">
        <f>'Income statement'!D48</f>
        <v>-63000</v>
      </c>
      <c r="J54" s="29">
        <f>'Income statement'!E48</f>
        <v>0</v>
      </c>
      <c r="K54" s="29">
        <f>-'Income statement'!L48</f>
        <v>158172.20639250951</v>
      </c>
      <c r="L54" s="29">
        <f t="shared" ref="L54:L63" si="2">L53+SUM(B54:K54)</f>
        <v>2453198.4563925094</v>
      </c>
    </row>
    <row r="55" spans="1:12" x14ac:dyDescent="0.25">
      <c r="A55" s="13">
        <v>2</v>
      </c>
      <c r="B55" s="29">
        <f>'Income statement'!B49</f>
        <v>7645180.5</v>
      </c>
      <c r="C55" s="29">
        <f>-'Actuarial balances'!D263</f>
        <v>0</v>
      </c>
      <c r="D55" s="29">
        <f>'Income statement'!G49</f>
        <v>0</v>
      </c>
      <c r="E55" s="29">
        <f>'Income statement'!H49</f>
        <v>-30325.882650000003</v>
      </c>
      <c r="F55" s="29">
        <f>'Income statement'!I49</f>
        <v>-654.08766500000002</v>
      </c>
      <c r="G55" s="29">
        <f>'Income statement'!J49</f>
        <v>-172016.56125</v>
      </c>
      <c r="H55" s="29">
        <f>Input!C61*('Invested asset rollforwards'!L54+'Invested asset rollforwards'!B55+'Invested asset rollforwards'!C55+'Invested asset rollforwards'!D55+'Invested asset rollforwards'!E55+G55)</f>
        <v>420581.55178093177</v>
      </c>
      <c r="I55" s="29">
        <f>'Income statement'!D49</f>
        <v>-65408.766499999998</v>
      </c>
      <c r="J55" s="29">
        <f>'Income statement'!E49</f>
        <v>-1018572.4948019999</v>
      </c>
      <c r="K55" s="29">
        <f>-'Income statement'!L49</f>
        <v>24966.43511224119</v>
      </c>
      <c r="L55" s="29">
        <f t="shared" si="2"/>
        <v>9256949.150418682</v>
      </c>
    </row>
    <row r="56" spans="1:12" x14ac:dyDescent="0.25">
      <c r="A56" s="13">
        <v>3</v>
      </c>
      <c r="B56" s="29">
        <f>'Income statement'!B50</f>
        <v>6722578.4656932</v>
      </c>
      <c r="C56" s="29">
        <f>-'Actuarial balances'!D264</f>
        <v>0</v>
      </c>
      <c r="D56" s="29">
        <f>'Income statement'!G50</f>
        <v>0</v>
      </c>
      <c r="E56" s="29">
        <f>'Income statement'!H50</f>
        <v>-27199.552472194689</v>
      </c>
      <c r="F56" s="29">
        <f>'Income statement'!I50</f>
        <v>-739.48363122625199</v>
      </c>
      <c r="G56" s="29">
        <f>'Income statement'!J50</f>
        <v>-151258.01547809699</v>
      </c>
      <c r="H56" s="29">
        <f>Input!C62*('Invested asset rollforwards'!L55+'Invested asset rollforwards'!B56+'Invested asset rollforwards'!C56+'Invested asset rollforwards'!D56+'Invested asset rollforwards'!E56+G56)</f>
        <v>671545.4770468676</v>
      </c>
      <c r="I56" s="29">
        <f>'Income statement'!D50</f>
        <v>-73948.363122625189</v>
      </c>
      <c r="J56" s="29">
        <f>'Income statement'!E50</f>
        <v>-1567048.7263695048</v>
      </c>
      <c r="K56" s="29">
        <f>-'Income statement'!L50</f>
        <v>-3415.2003332249587</v>
      </c>
      <c r="L56" s="29">
        <f t="shared" si="2"/>
        <v>14827463.751751877</v>
      </c>
    </row>
    <row r="57" spans="1:12" x14ac:dyDescent="0.25">
      <c r="A57" s="13">
        <v>4</v>
      </c>
      <c r="B57" s="29">
        <f>'Income statement'!B51</f>
        <v>6044330.8017109474</v>
      </c>
      <c r="C57" s="29">
        <f>-'Actuarial balances'!D265</f>
        <v>0</v>
      </c>
      <c r="D57" s="29">
        <f>'Income statement'!G51</f>
        <v>0</v>
      </c>
      <c r="E57" s="29">
        <f>'Income statement'!H51</f>
        <v>-24944.469672196941</v>
      </c>
      <c r="F57" s="29">
        <f>'Income statement'!I51</f>
        <v>-765.61523488338662</v>
      </c>
      <c r="G57" s="29">
        <f>'Income statement'!J51</f>
        <v>-135997.44303849631</v>
      </c>
      <c r="H57" s="29">
        <f>Input!C63*('Invested asset rollforwards'!L56+'Invested asset rollforwards'!B57+'Invested asset rollforwards'!C57+'Invested asset rollforwards'!D57+'Invested asset rollforwards'!E57+G57)</f>
        <v>880211.23723196576</v>
      </c>
      <c r="I57" s="29">
        <f>'Income statement'!D51</f>
        <v>-76561.523488338644</v>
      </c>
      <c r="J57" s="29">
        <f>'Income statement'!E51</f>
        <v>-1931980.8846710389</v>
      </c>
      <c r="K57" s="29">
        <f>-'Income statement'!L51</f>
        <v>-30588.794972586795</v>
      </c>
      <c r="L57" s="29">
        <f t="shared" si="2"/>
        <v>19551167.059617251</v>
      </c>
    </row>
    <row r="58" spans="1:12" x14ac:dyDescent="0.25">
      <c r="A58" s="13">
        <v>5</v>
      </c>
      <c r="B58" s="29">
        <f>'Income statement'!B52</f>
        <v>5494070.6407832671</v>
      </c>
      <c r="C58" s="29">
        <f>-'Actuarial balances'!D266</f>
        <v>0</v>
      </c>
      <c r="D58" s="29">
        <f>'Income statement'!G52</f>
        <v>0</v>
      </c>
      <c r="E58" s="29">
        <f>'Income statement'!H52</f>
        <v>-23127.061809038503</v>
      </c>
      <c r="F58" s="29">
        <f>'Income statement'!I52</f>
        <v>-976.7236694725807</v>
      </c>
      <c r="G58" s="29">
        <f>'Income statement'!J52</f>
        <v>-123616.5894176235</v>
      </c>
      <c r="H58" s="29">
        <f>Input!C64*('Invested asset rollforwards'!L57+'Invested asset rollforwards'!B58+'Invested asset rollforwards'!C58+'Invested asset rollforwards'!D58+'Invested asset rollforwards'!E58+G58)</f>
        <v>1058185.9970898889</v>
      </c>
      <c r="I58" s="29">
        <f>'Income statement'!D52</f>
        <v>-97672.366947258066</v>
      </c>
      <c r="J58" s="29">
        <f>'Income statement'!E52</f>
        <v>-2096595.9599430629</v>
      </c>
      <c r="K58" s="29">
        <f>-'Income statement'!L52</f>
        <v>-45062.796429131296</v>
      </c>
      <c r="L58" s="29">
        <f t="shared" si="2"/>
        <v>23716372.199274823</v>
      </c>
    </row>
    <row r="59" spans="1:12" x14ac:dyDescent="0.25">
      <c r="A59" s="13">
        <v>6</v>
      </c>
      <c r="B59" s="29">
        <f>'Income statement'!B53</f>
        <v>5046457.7175373733</v>
      </c>
      <c r="C59" s="29">
        <f>-'Actuarial balances'!D267</f>
        <v>0</v>
      </c>
      <c r="D59" s="29">
        <f>'Income statement'!G53</f>
        <v>0</v>
      </c>
      <c r="E59" s="29">
        <f>'Income statement'!H53</f>
        <v>-21667.710905919172</v>
      </c>
      <c r="F59" s="29">
        <f>'Income statement'!I53</f>
        <v>-824.25476053110413</v>
      </c>
      <c r="G59" s="29">
        <f>'Income statement'!J53</f>
        <v>-113545.29864459089</v>
      </c>
      <c r="H59" s="29">
        <f>Input!C65*('Invested asset rollforwards'!L58+'Invested asset rollforwards'!B59+'Invested asset rollforwards'!C59+'Invested asset rollforwards'!D59+'Invested asset rollforwards'!E59+G59)</f>
        <v>1216673.7185586216</v>
      </c>
      <c r="I59" s="29">
        <f>'Income statement'!D53</f>
        <v>-82425.476053110411</v>
      </c>
      <c r="J59" s="29">
        <f>'Income statement'!E53</f>
        <v>-2116396.5583708896</v>
      </c>
      <c r="K59" s="29">
        <f>-'Income statement'!L53</f>
        <v>-78269.017869470175</v>
      </c>
      <c r="L59" s="29">
        <f t="shared" si="2"/>
        <v>27566375.318766307</v>
      </c>
    </row>
    <row r="60" spans="1:12" x14ac:dyDescent="0.25">
      <c r="A60" s="13">
        <v>7</v>
      </c>
      <c r="B60" s="29">
        <f>'Income statement'!B54</f>
        <v>4686306.6649641115</v>
      </c>
      <c r="C60" s="29">
        <f>-'Actuarial balances'!D268</f>
        <v>0</v>
      </c>
      <c r="D60" s="29">
        <f>'Income statement'!G54</f>
        <v>0</v>
      </c>
      <c r="E60" s="29">
        <f>'Income statement'!H54</f>
        <v>-20523.776199223859</v>
      </c>
      <c r="F60" s="29">
        <f>'Income statement'!I54</f>
        <v>-863.84252857505123</v>
      </c>
      <c r="G60" s="29">
        <f>'Income statement'!J54</f>
        <v>-105441.8999616925</v>
      </c>
      <c r="H60" s="29">
        <f>Input!C66*('Invested asset rollforwards'!L59+'Invested asset rollforwards'!B60+'Invested asset rollforwards'!C60+'Invested asset rollforwards'!D60+'Invested asset rollforwards'!E60+G60)</f>
        <v>1365385.4430717041</v>
      </c>
      <c r="I60" s="29">
        <f>'Income statement'!D54</f>
        <v>-86384.252857505126</v>
      </c>
      <c r="J60" s="29">
        <f>'Income statement'!E54</f>
        <v>-2027363.9022896718</v>
      </c>
      <c r="K60" s="29">
        <f>-'Income statement'!L54</f>
        <v>-101583.31856531405</v>
      </c>
      <c r="L60" s="29">
        <f t="shared" si="2"/>
        <v>31275906.434400141</v>
      </c>
    </row>
    <row r="61" spans="1:12" x14ac:dyDescent="0.25">
      <c r="A61" s="13">
        <v>8</v>
      </c>
      <c r="B61" s="29">
        <f>'Income statement'!B55</f>
        <v>4397820.15727452</v>
      </c>
      <c r="C61" s="29">
        <f>-'Actuarial balances'!D269</f>
        <v>0</v>
      </c>
      <c r="D61" s="29">
        <f>'Income statement'!G55</f>
        <v>0</v>
      </c>
      <c r="E61" s="29">
        <f>'Income statement'!H55</f>
        <v>-19645.550491623559</v>
      </c>
      <c r="F61" s="29">
        <f>'Income statement'!I55</f>
        <v>-913.28065266067517</v>
      </c>
      <c r="G61" s="29">
        <f>'Income statement'!J55</f>
        <v>-98950.953538676695</v>
      </c>
      <c r="H61" s="29">
        <f>Input!C67*('Invested asset rollforwards'!L60+'Invested asset rollforwards'!B61+'Invested asset rollforwards'!C61+'Invested asset rollforwards'!D61+'Invested asset rollforwards'!E61+G61)</f>
        <v>1511093.0287248855</v>
      </c>
      <c r="I61" s="29">
        <f>'Income statement'!D55</f>
        <v>-91328.065266067511</v>
      </c>
      <c r="J61" s="29">
        <f>'Income statement'!E55</f>
        <v>-1853386.9332580201</v>
      </c>
      <c r="K61" s="29">
        <f>-'Income statement'!L55</f>
        <v>-124664.90591343312</v>
      </c>
      <c r="L61" s="29">
        <f t="shared" si="2"/>
        <v>34995929.931279063</v>
      </c>
    </row>
    <row r="62" spans="1:12" x14ac:dyDescent="0.25">
      <c r="A62" s="13">
        <v>9</v>
      </c>
      <c r="B62" s="29">
        <f>'Income statement'!B56</f>
        <v>4170120.5998305455</v>
      </c>
      <c r="C62" s="29">
        <f>-'Actuarial balances'!D270</f>
        <v>0</v>
      </c>
      <c r="D62" s="29">
        <f>'Income statement'!G56</f>
        <v>0</v>
      </c>
      <c r="E62" s="29">
        <f>'Income statement'!H56</f>
        <v>-19000.959136064317</v>
      </c>
      <c r="F62" s="29">
        <f>'Income statement'!I56</f>
        <v>-977.89328066026269</v>
      </c>
      <c r="G62" s="29">
        <f>'Income statement'!J56</f>
        <v>-93827.713496187265</v>
      </c>
      <c r="H62" s="29">
        <f>Input!C68*('Invested asset rollforwards'!L61+'Invested asset rollforwards'!B62+'Invested asset rollforwards'!C62+'Invested asset rollforwards'!D62+'Invested asset rollforwards'!E62+G62)</f>
        <v>1659761.9289852879</v>
      </c>
      <c r="I62" s="29">
        <f>'Income statement'!D56</f>
        <v>-97789.328066026268</v>
      </c>
      <c r="J62" s="29">
        <f>'Income statement'!E56</f>
        <v>-1609043.5633177795</v>
      </c>
      <c r="K62" s="29">
        <f>-'Income statement'!L56</f>
        <v>-147940.67742523446</v>
      </c>
      <c r="L62" s="29">
        <f t="shared" si="2"/>
        <v>38857232.325372949</v>
      </c>
    </row>
    <row r="63" spans="1:12" x14ac:dyDescent="0.25">
      <c r="A63" s="13">
        <v>10</v>
      </c>
      <c r="B63" s="29">
        <f>'Income statement'!B57</f>
        <v>3994866.7778924187</v>
      </c>
      <c r="C63" s="29">
        <f>-'Actuarial balances'!D271</f>
        <v>0</v>
      </c>
      <c r="D63" s="29">
        <f>'Income statement'!G57</f>
        <v>0</v>
      </c>
      <c r="E63" s="29">
        <f>'Income statement'!H57</f>
        <v>-18566.471773482055</v>
      </c>
      <c r="F63" s="29">
        <f>'Income statement'!I57</f>
        <v>-1043.9918512892186</v>
      </c>
      <c r="G63" s="29">
        <f>'Income statement'!J57</f>
        <v>-89884.502502579417</v>
      </c>
      <c r="H63" s="29">
        <f>Input!C69*('Invested asset rollforwards'!L62+'Invested asset rollforwards'!B63+'Invested asset rollforwards'!C63+'Invested asset rollforwards'!D63+'Invested asset rollforwards'!E63+G63)</f>
        <v>1816605.0454820455</v>
      </c>
      <c r="I63" s="29">
        <f>'Income statement'!D57</f>
        <v>-104399.18512892186</v>
      </c>
      <c r="J63" s="29">
        <f>'Income statement'!E57</f>
        <v>-44283009.45812016</v>
      </c>
      <c r="K63" s="29">
        <f>-'Income statement'!L57</f>
        <v>-171800.53937097773</v>
      </c>
      <c r="L63" s="29">
        <f t="shared" si="2"/>
        <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4"/>
  <sheetViews>
    <sheetView workbookViewId="0">
      <selection activeCell="A40" sqref="A40"/>
    </sheetView>
  </sheetViews>
  <sheetFormatPr defaultColWidth="8.7109375" defaultRowHeight="15" x14ac:dyDescent="0.25"/>
  <cols>
    <col min="1" max="1" width="14.140625" style="13" bestFit="1" customWidth="1"/>
    <col min="2" max="2" width="13.85546875" style="13" bestFit="1" customWidth="1"/>
    <col min="3" max="3" width="11" style="13" bestFit="1" customWidth="1"/>
    <col min="4" max="4" width="11.5703125" style="13" customWidth="1"/>
    <col min="5" max="5" width="8.7109375" style="13"/>
    <col min="6" max="6" width="12.5703125" style="13" customWidth="1"/>
    <col min="7" max="7" width="8.7109375" style="13"/>
    <col min="8" max="8" width="11.140625" style="13" customWidth="1"/>
    <col min="9" max="16384" width="8.7109375" style="13"/>
  </cols>
  <sheetData>
    <row r="1" spans="1:8" x14ac:dyDescent="0.25">
      <c r="A1" s="14" t="s">
        <v>157</v>
      </c>
    </row>
    <row r="2" spans="1:8" x14ac:dyDescent="0.25">
      <c r="A2" s="6" t="s">
        <v>168</v>
      </c>
    </row>
    <row r="3" spans="1:8" x14ac:dyDescent="0.25">
      <c r="A3" s="16" t="s">
        <v>158</v>
      </c>
    </row>
    <row r="4" spans="1:8" x14ac:dyDescent="0.25">
      <c r="A4" s="17" t="s">
        <v>169</v>
      </c>
    </row>
    <row r="6" spans="1:8" x14ac:dyDescent="0.25">
      <c r="A6" s="1" t="s">
        <v>52</v>
      </c>
    </row>
    <row r="8" spans="1:8" s="1" customFormat="1" x14ac:dyDescent="0.25">
      <c r="A8" s="1" t="s">
        <v>84</v>
      </c>
    </row>
    <row r="9" spans="1:8" x14ac:dyDescent="0.25">
      <c r="B9" s="20"/>
      <c r="C9" s="20"/>
      <c r="F9" s="20"/>
      <c r="G9" s="20"/>
      <c r="H9" s="20"/>
    </row>
    <row r="10" spans="1:8" x14ac:dyDescent="0.25">
      <c r="A10" s="20" t="s">
        <v>0</v>
      </c>
      <c r="B10" s="20" t="s">
        <v>51</v>
      </c>
      <c r="C10" s="20"/>
      <c r="D10" s="20" t="s">
        <v>18</v>
      </c>
      <c r="F10" s="20" t="s">
        <v>18</v>
      </c>
      <c r="G10" s="20"/>
      <c r="H10" s="20" t="s">
        <v>12</v>
      </c>
    </row>
    <row r="11" spans="1:8" x14ac:dyDescent="0.25">
      <c r="A11" s="2" t="s">
        <v>1</v>
      </c>
      <c r="B11" s="2" t="s">
        <v>14</v>
      </c>
      <c r="C11" s="2" t="s">
        <v>13</v>
      </c>
      <c r="D11" s="2" t="s">
        <v>14</v>
      </c>
      <c r="F11" s="2" t="s">
        <v>53</v>
      </c>
      <c r="G11" s="20"/>
      <c r="H11" s="2" t="s">
        <v>15</v>
      </c>
    </row>
    <row r="12" spans="1:8" x14ac:dyDescent="0.25">
      <c r="C12" s="22"/>
    </row>
    <row r="13" spans="1:8" x14ac:dyDescent="0.25">
      <c r="A13" s="13">
        <v>1</v>
      </c>
      <c r="B13" s="29">
        <f>'Invested asset rollforwards'!L16</f>
        <v>2453198.4563925094</v>
      </c>
      <c r="C13" s="29">
        <f>'Actuarial balances'!D92</f>
        <v>5393221.9610559633</v>
      </c>
      <c r="D13" s="29">
        <f>B13+C13</f>
        <v>7846420.4174484722</v>
      </c>
      <c r="F13" s="29">
        <f>'Actuarial balances'!F55</f>
        <v>7846420.4174484732</v>
      </c>
      <c r="H13" s="29">
        <f t="shared" ref="H13:H22" si="0">D13-F13</f>
        <v>0</v>
      </c>
    </row>
    <row r="14" spans="1:8" x14ac:dyDescent="0.25">
      <c r="A14" s="13">
        <v>2</v>
      </c>
      <c r="B14" s="29">
        <f>'Invested asset rollforwards'!L17</f>
        <v>9256949.150418682</v>
      </c>
      <c r="C14" s="29">
        <f>'Actuarial balances'!D93</f>
        <v>4537999.7575933868</v>
      </c>
      <c r="D14" s="29">
        <f t="shared" ref="D14:D22" si="1">B14+C14</f>
        <v>13794948.90801207</v>
      </c>
      <c r="F14" s="29">
        <f>'Actuarial balances'!F56</f>
        <v>13794948.90801207</v>
      </c>
      <c r="H14" s="29">
        <f t="shared" si="0"/>
        <v>0</v>
      </c>
    </row>
    <row r="15" spans="1:8" x14ac:dyDescent="0.25">
      <c r="A15" s="13">
        <v>3</v>
      </c>
      <c r="B15" s="29">
        <f>'Invested asset rollforwards'!L18</f>
        <v>14827463.751751877</v>
      </c>
      <c r="C15" s="29">
        <f>'Actuarial balances'!D94</f>
        <v>3785983.7171113859</v>
      </c>
      <c r="D15" s="29">
        <f t="shared" si="1"/>
        <v>18613447.468863264</v>
      </c>
      <c r="F15" s="29">
        <f>'Actuarial balances'!F57</f>
        <v>18613447.468863264</v>
      </c>
      <c r="H15" s="29">
        <f t="shared" si="0"/>
        <v>0</v>
      </c>
    </row>
    <row r="16" spans="1:8" x14ac:dyDescent="0.25">
      <c r="A16" s="13">
        <v>4</v>
      </c>
      <c r="B16" s="29">
        <f>'Invested asset rollforwards'!L19</f>
        <v>19551167.059617251</v>
      </c>
      <c r="C16" s="29">
        <f>'Actuarial balances'!D95</f>
        <v>3109839.3269696543</v>
      </c>
      <c r="D16" s="29">
        <f t="shared" si="1"/>
        <v>22661006.386586905</v>
      </c>
      <c r="F16" s="29">
        <f>'Actuarial balances'!F58</f>
        <v>22661006.386586905</v>
      </c>
      <c r="H16" s="29">
        <f t="shared" si="0"/>
        <v>0</v>
      </c>
    </row>
    <row r="17" spans="1:8" x14ac:dyDescent="0.25">
      <c r="A17" s="13">
        <v>5</v>
      </c>
      <c r="B17" s="29">
        <f>'Invested asset rollforwards'!L20</f>
        <v>23724718.478000447</v>
      </c>
      <c r="C17" s="29">
        <f>'Actuarial balances'!D96</f>
        <v>2495249.364131012</v>
      </c>
      <c r="D17" s="29">
        <f t="shared" si="1"/>
        <v>26219967.842131458</v>
      </c>
      <c r="F17" s="29">
        <f>'Actuarial balances'!F59</f>
        <v>26219967.842131458</v>
      </c>
      <c r="H17" s="29">
        <f t="shared" si="0"/>
        <v>0</v>
      </c>
    </row>
    <row r="18" spans="1:8" x14ac:dyDescent="0.25">
      <c r="A18" s="13">
        <v>6</v>
      </c>
      <c r="B18" s="29">
        <f>'Invested asset rollforwards'!L21</f>
        <v>27578407.500318773</v>
      </c>
      <c r="C18" s="29">
        <f>'Actuarial balances'!D97</f>
        <v>1930550.3394596996</v>
      </c>
      <c r="D18" s="29">
        <f t="shared" si="1"/>
        <v>29508957.839778472</v>
      </c>
      <c r="F18" s="29">
        <f>'Actuarial balances'!F60</f>
        <v>29508957.839778472</v>
      </c>
      <c r="H18" s="29">
        <f t="shared" si="0"/>
        <v>0</v>
      </c>
    </row>
    <row r="19" spans="1:8" x14ac:dyDescent="0.25">
      <c r="A19" s="13">
        <v>7</v>
      </c>
      <c r="B19" s="29">
        <f>'Invested asset rollforwards'!L22</f>
        <v>31292136.485438671</v>
      </c>
      <c r="C19" s="29">
        <f>'Actuarial balances'!D98</f>
        <v>1406115.4846455012</v>
      </c>
      <c r="D19" s="29">
        <f t="shared" si="1"/>
        <v>32698251.970084172</v>
      </c>
      <c r="F19" s="29">
        <f>'Actuarial balances'!F61</f>
        <v>32698251.970084172</v>
      </c>
      <c r="H19" s="29">
        <f t="shared" si="0"/>
        <v>0</v>
      </c>
    </row>
    <row r="20" spans="1:8" x14ac:dyDescent="0.25">
      <c r="A20" s="13">
        <v>8</v>
      </c>
      <c r="B20" s="29">
        <f>'Invested asset rollforwards'!L23</f>
        <v>35016979.061659545</v>
      </c>
      <c r="C20" s="29">
        <f>'Actuarial balances'!D99</f>
        <v>913925.61176652473</v>
      </c>
      <c r="D20" s="29">
        <f t="shared" si="1"/>
        <v>35930904.673426069</v>
      </c>
      <c r="F20" s="29">
        <f>'Actuarial balances'!F62</f>
        <v>35930904.673426069</v>
      </c>
      <c r="H20" s="29">
        <f t="shared" si="0"/>
        <v>0</v>
      </c>
    </row>
    <row r="21" spans="1:8" x14ac:dyDescent="0.25">
      <c r="A21" s="13">
        <v>9</v>
      </c>
      <c r="B21" s="29">
        <f>'Invested asset rollforwards'!L24</f>
        <v>38883886.400252566</v>
      </c>
      <c r="C21" s="29">
        <f>'Actuarial balances'!D100</f>
        <v>447177.52560653543</v>
      </c>
      <c r="D21" s="29">
        <f t="shared" si="1"/>
        <v>39331063.925859101</v>
      </c>
      <c r="F21" s="29">
        <f>'Actuarial balances'!F63</f>
        <v>39331063.925859101</v>
      </c>
      <c r="H21" s="29">
        <f t="shared" si="0"/>
        <v>0</v>
      </c>
    </row>
    <row r="22" spans="1:8" x14ac:dyDescent="0.25">
      <c r="A22" s="13">
        <v>10</v>
      </c>
      <c r="B22" s="29">
        <f>'Invested asset rollforwards'!L25</f>
        <v>0</v>
      </c>
      <c r="C22" s="29">
        <f>'Actuarial balances'!D101</f>
        <v>0</v>
      </c>
      <c r="D22" s="29">
        <f t="shared" si="1"/>
        <v>0</v>
      </c>
      <c r="F22" s="29">
        <f>'Actuarial balances'!F64</f>
        <v>0</v>
      </c>
      <c r="H22" s="29">
        <f t="shared" si="0"/>
        <v>0</v>
      </c>
    </row>
    <row r="23" spans="1:8" x14ac:dyDescent="0.25">
      <c r="B23" s="29"/>
      <c r="C23" s="29"/>
      <c r="D23" s="29"/>
      <c r="F23" s="29"/>
      <c r="H23" s="29"/>
    </row>
    <row r="24" spans="1:8" x14ac:dyDescent="0.25">
      <c r="A24" s="4" t="s">
        <v>85</v>
      </c>
      <c r="B24" s="29"/>
      <c r="C24" s="29"/>
      <c r="D24" s="29"/>
      <c r="F24" s="29"/>
      <c r="H24" s="29"/>
    </row>
    <row r="25" spans="1:8" x14ac:dyDescent="0.25">
      <c r="B25" s="29"/>
      <c r="C25" s="29"/>
      <c r="D25" s="29"/>
      <c r="F25" s="29"/>
      <c r="H25" s="29"/>
    </row>
    <row r="26" spans="1:8" x14ac:dyDescent="0.25">
      <c r="A26" s="20" t="s">
        <v>0</v>
      </c>
      <c r="B26" s="20" t="s">
        <v>51</v>
      </c>
      <c r="C26" s="20"/>
      <c r="D26" s="20" t="s">
        <v>18</v>
      </c>
      <c r="F26" s="20" t="s">
        <v>18</v>
      </c>
      <c r="G26" s="20"/>
      <c r="H26" s="20" t="s">
        <v>12</v>
      </c>
    </row>
    <row r="27" spans="1:8" x14ac:dyDescent="0.25">
      <c r="A27" s="2" t="s">
        <v>1</v>
      </c>
      <c r="B27" s="2" t="s">
        <v>14</v>
      </c>
      <c r="C27" s="2" t="s">
        <v>13</v>
      </c>
      <c r="D27" s="2" t="s">
        <v>14</v>
      </c>
      <c r="F27" s="2" t="s">
        <v>53</v>
      </c>
      <c r="G27" s="20"/>
      <c r="H27" s="2" t="s">
        <v>15</v>
      </c>
    </row>
    <row r="28" spans="1:8" x14ac:dyDescent="0.25">
      <c r="C28" s="22"/>
    </row>
    <row r="29" spans="1:8" x14ac:dyDescent="0.25">
      <c r="A29" s="13">
        <v>1</v>
      </c>
      <c r="B29" s="29">
        <f>'Invested asset rollforwards'!L35</f>
        <v>2453198.4563925094</v>
      </c>
      <c r="C29" s="29">
        <f>'Actuarial balances'!D92</f>
        <v>5393221.9610559633</v>
      </c>
      <c r="D29" s="29">
        <f>B29+C29</f>
        <v>7846420.4174484722</v>
      </c>
      <c r="F29" s="29">
        <f>'Actuarial balances'!F55</f>
        <v>7846420.4174484732</v>
      </c>
      <c r="H29" s="29">
        <f t="shared" ref="H29:H38" si="2">D29-F29</f>
        <v>0</v>
      </c>
    </row>
    <row r="30" spans="1:8" x14ac:dyDescent="0.25">
      <c r="A30" s="13">
        <v>2</v>
      </c>
      <c r="B30" s="29">
        <f>'Invested asset rollforwards'!L36</f>
        <v>9256949.150418682</v>
      </c>
      <c r="C30" s="29">
        <f>'Actuarial balances'!D93</f>
        <v>4537999.7575933868</v>
      </c>
      <c r="D30" s="29">
        <f t="shared" ref="D30:D38" si="3">B30+C30</f>
        <v>13794948.90801207</v>
      </c>
      <c r="F30" s="29">
        <f>'Actuarial balances'!F56</f>
        <v>13794948.90801207</v>
      </c>
      <c r="H30" s="29">
        <f t="shared" si="2"/>
        <v>0</v>
      </c>
    </row>
    <row r="31" spans="1:8" x14ac:dyDescent="0.25">
      <c r="A31" s="13">
        <v>3</v>
      </c>
      <c r="B31" s="29">
        <f>'Invested asset rollforwards'!L37</f>
        <v>14827463.751751877</v>
      </c>
      <c r="C31" s="29">
        <f>'Actuarial balances'!D94</f>
        <v>3785983.7171113859</v>
      </c>
      <c r="D31" s="29">
        <f t="shared" si="3"/>
        <v>18613447.468863264</v>
      </c>
      <c r="F31" s="29">
        <f>'Actuarial balances'!F57</f>
        <v>18613447.468863264</v>
      </c>
      <c r="H31" s="29">
        <f t="shared" si="2"/>
        <v>0</v>
      </c>
    </row>
    <row r="32" spans="1:8" x14ac:dyDescent="0.25">
      <c r="A32" s="13">
        <v>4</v>
      </c>
      <c r="B32" s="29">
        <f>'Invested asset rollforwards'!L38</f>
        <v>19551167.059617251</v>
      </c>
      <c r="C32" s="29">
        <f>'Actuarial balances'!D95</f>
        <v>3109839.3269696543</v>
      </c>
      <c r="D32" s="29">
        <f t="shared" si="3"/>
        <v>22661006.386586905</v>
      </c>
      <c r="F32" s="29">
        <f>'Actuarial balances'!F58</f>
        <v>22661006.386586905</v>
      </c>
      <c r="H32" s="29">
        <f t="shared" si="2"/>
        <v>0</v>
      </c>
    </row>
    <row r="33" spans="1:8" x14ac:dyDescent="0.25">
      <c r="A33" s="13">
        <v>5</v>
      </c>
      <c r="B33" s="29">
        <f>'Invested asset rollforwards'!L39</f>
        <v>23713460.004262008</v>
      </c>
      <c r="C33" s="29">
        <f>'Actuarial balances'!D190</f>
        <v>2494449.8609704445</v>
      </c>
      <c r="D33" s="29">
        <f t="shared" si="3"/>
        <v>26207909.865232453</v>
      </c>
      <c r="F33" s="29">
        <f>'Actuarial balances'!F154</f>
        <v>26207909.865232449</v>
      </c>
      <c r="H33" s="29">
        <f t="shared" si="2"/>
        <v>0</v>
      </c>
    </row>
    <row r="34" spans="1:8" x14ac:dyDescent="0.25">
      <c r="A34" s="13">
        <v>6</v>
      </c>
      <c r="B34" s="29">
        <f>'Invested asset rollforwards'!L40</f>
        <v>27566693.205200672</v>
      </c>
      <c r="C34" s="29">
        <f>'Actuarial balances'!D191</f>
        <v>1929931.7715841918</v>
      </c>
      <c r="D34" s="29">
        <f t="shared" si="3"/>
        <v>29496624.976784863</v>
      </c>
      <c r="F34" s="29">
        <f>'Actuarial balances'!F155</f>
        <v>29496624.976784859</v>
      </c>
      <c r="H34" s="29">
        <f t="shared" si="2"/>
        <v>0</v>
      </c>
    </row>
    <row r="35" spans="1:8" x14ac:dyDescent="0.25">
      <c r="A35" s="13">
        <v>7</v>
      </c>
      <c r="B35" s="29">
        <f>'Invested asset rollforwards'!L41</f>
        <v>31279976.401604179</v>
      </c>
      <c r="C35" s="29">
        <f>'Actuarial balances'!D192</f>
        <v>1405664.9510073578</v>
      </c>
      <c r="D35" s="29">
        <f t="shared" si="3"/>
        <v>32685641.352611538</v>
      </c>
      <c r="F35" s="29">
        <f>'Actuarial balances'!F156</f>
        <v>32685641.352611531</v>
      </c>
      <c r="H35" s="29">
        <f t="shared" si="2"/>
        <v>0</v>
      </c>
    </row>
    <row r="36" spans="1:8" x14ac:dyDescent="0.25">
      <c r="A36" s="13">
        <v>8</v>
      </c>
      <c r="B36" s="29">
        <f>'Invested asset rollforwards'!L42</f>
        <v>35004346.562554285</v>
      </c>
      <c r="C36" s="29">
        <f>'Actuarial balances'!D193</f>
        <v>913632.78074705438</v>
      </c>
      <c r="D36" s="29">
        <f t="shared" si="3"/>
        <v>35917979.343301341</v>
      </c>
      <c r="F36" s="29">
        <f>'Actuarial balances'!F157</f>
        <v>35917979.343301333</v>
      </c>
      <c r="H36" s="29">
        <f t="shared" si="2"/>
        <v>0</v>
      </c>
    </row>
    <row r="37" spans="1:8" x14ac:dyDescent="0.25">
      <c r="A37" s="13">
        <v>9</v>
      </c>
      <c r="B37" s="29">
        <f>'Invested asset rollforwards'!L43</f>
        <v>38870723.125091478</v>
      </c>
      <c r="C37" s="29">
        <f>'Actuarial balances'!D194</f>
        <v>447034.24539967632</v>
      </c>
      <c r="D37" s="29">
        <f t="shared" si="3"/>
        <v>39317757.370491154</v>
      </c>
      <c r="F37" s="29">
        <f>'Actuarial balances'!F158</f>
        <v>39317757.370491147</v>
      </c>
      <c r="H37" s="29">
        <f t="shared" si="2"/>
        <v>0</v>
      </c>
    </row>
    <row r="38" spans="1:8" x14ac:dyDescent="0.25">
      <c r="A38" s="13">
        <v>10</v>
      </c>
      <c r="B38" s="29">
        <f>'Invested asset rollforwards'!L44</f>
        <v>0</v>
      </c>
      <c r="C38" s="29">
        <f>'Actuarial balances'!D195</f>
        <v>0</v>
      </c>
      <c r="D38" s="29">
        <f t="shared" si="3"/>
        <v>0</v>
      </c>
      <c r="F38" s="29">
        <f>'Actuarial balances'!F159</f>
        <v>0</v>
      </c>
      <c r="H38" s="29">
        <f t="shared" si="2"/>
        <v>0</v>
      </c>
    </row>
    <row r="40" spans="1:8" x14ac:dyDescent="0.25">
      <c r="A40" s="4" t="s">
        <v>187</v>
      </c>
      <c r="B40" s="29"/>
      <c r="C40" s="29"/>
      <c r="D40" s="29"/>
      <c r="F40" s="29"/>
      <c r="H40" s="29"/>
    </row>
    <row r="41" spans="1:8" x14ac:dyDescent="0.25">
      <c r="B41" s="29"/>
      <c r="C41" s="29"/>
      <c r="D41" s="29"/>
      <c r="F41" s="29"/>
      <c r="H41" s="29"/>
    </row>
    <row r="42" spans="1:8" x14ac:dyDescent="0.25">
      <c r="A42" s="20" t="s">
        <v>0</v>
      </c>
      <c r="B42" s="20" t="s">
        <v>51</v>
      </c>
      <c r="C42" s="20"/>
      <c r="D42" s="20" t="s">
        <v>18</v>
      </c>
      <c r="F42" s="20" t="s">
        <v>18</v>
      </c>
      <c r="G42" s="20"/>
      <c r="H42" s="20" t="s">
        <v>12</v>
      </c>
    </row>
    <row r="43" spans="1:8" x14ac:dyDescent="0.25">
      <c r="A43" s="2" t="s">
        <v>1</v>
      </c>
      <c r="B43" s="2" t="s">
        <v>14</v>
      </c>
      <c r="C43" s="2" t="s">
        <v>13</v>
      </c>
      <c r="D43" s="2" t="s">
        <v>14</v>
      </c>
      <c r="F43" s="2" t="s">
        <v>53</v>
      </c>
      <c r="G43" s="20"/>
      <c r="H43" s="2" t="s">
        <v>15</v>
      </c>
    </row>
    <row r="44" spans="1:8" x14ac:dyDescent="0.25">
      <c r="C44" s="22"/>
    </row>
    <row r="45" spans="1:8" x14ac:dyDescent="0.25">
      <c r="A45" s="13">
        <v>1</v>
      </c>
      <c r="B45" s="29">
        <f>'Invested asset rollforwards'!L54</f>
        <v>2453198.4563925094</v>
      </c>
      <c r="C45" s="29">
        <f>'Actuarial balances'!D92</f>
        <v>5393221.9610559633</v>
      </c>
      <c r="D45" s="29">
        <f>B45+C45</f>
        <v>7846420.4174484722</v>
      </c>
      <c r="F45" s="29">
        <f>'Actuarial balances'!F55</f>
        <v>7846420.4174484732</v>
      </c>
      <c r="H45" s="29">
        <f t="shared" ref="H45:H54" si="4">D45-F45</f>
        <v>0</v>
      </c>
    </row>
    <row r="46" spans="1:8" x14ac:dyDescent="0.25">
      <c r="A46" s="13">
        <v>2</v>
      </c>
      <c r="B46" s="29">
        <f>'Invested asset rollforwards'!L55</f>
        <v>9256949.150418682</v>
      </c>
      <c r="C46" s="29">
        <f>'Actuarial balances'!D93</f>
        <v>4537999.7575933868</v>
      </c>
      <c r="D46" s="29">
        <f t="shared" ref="D46:D54" si="5">B46+C46</f>
        <v>13794948.90801207</v>
      </c>
      <c r="F46" s="29">
        <f>'Actuarial balances'!F56</f>
        <v>13794948.90801207</v>
      </c>
      <c r="H46" s="29">
        <f t="shared" si="4"/>
        <v>0</v>
      </c>
    </row>
    <row r="47" spans="1:8" x14ac:dyDescent="0.25">
      <c r="A47" s="13">
        <v>3</v>
      </c>
      <c r="B47" s="29">
        <f>'Invested asset rollforwards'!L56</f>
        <v>14827463.751751877</v>
      </c>
      <c r="C47" s="29">
        <f>'Actuarial balances'!D94</f>
        <v>3785983.7171113859</v>
      </c>
      <c r="D47" s="29">
        <f t="shared" si="5"/>
        <v>18613447.468863264</v>
      </c>
      <c r="F47" s="29">
        <f>'Actuarial balances'!F57</f>
        <v>18613447.468863264</v>
      </c>
      <c r="H47" s="29">
        <f t="shared" si="4"/>
        <v>0</v>
      </c>
    </row>
    <row r="48" spans="1:8" x14ac:dyDescent="0.25">
      <c r="A48" s="13">
        <v>4</v>
      </c>
      <c r="B48" s="29">
        <f>'Invested asset rollforwards'!L57</f>
        <v>19551167.059617251</v>
      </c>
      <c r="C48" s="29">
        <f>'Actuarial balances'!D95</f>
        <v>3109839.3269696543</v>
      </c>
      <c r="D48" s="29">
        <f t="shared" si="5"/>
        <v>22661006.386586905</v>
      </c>
      <c r="F48" s="29">
        <f>'Actuarial balances'!F58</f>
        <v>22661006.386586905</v>
      </c>
      <c r="H48" s="29">
        <f t="shared" si="4"/>
        <v>0</v>
      </c>
    </row>
    <row r="49" spans="1:8" x14ac:dyDescent="0.25">
      <c r="A49" s="13">
        <v>5</v>
      </c>
      <c r="B49" s="29">
        <f>'Invested asset rollforwards'!L58</f>
        <v>23716372.199274823</v>
      </c>
      <c r="C49" s="29">
        <f>'Actuarial balances'!D284</f>
        <v>2494449.8609704445</v>
      </c>
      <c r="D49" s="29">
        <f t="shared" si="5"/>
        <v>26210822.060245268</v>
      </c>
      <c r="F49" s="29">
        <f>'Actuarial balances'!F248</f>
        <v>26210822.060245264</v>
      </c>
      <c r="H49" s="29">
        <f t="shared" si="4"/>
        <v>0</v>
      </c>
    </row>
    <row r="50" spans="1:8" x14ac:dyDescent="0.25">
      <c r="A50" s="13">
        <v>6</v>
      </c>
      <c r="B50" s="29">
        <f>'Invested asset rollforwards'!L59</f>
        <v>27566375.318766307</v>
      </c>
      <c r="C50" s="29">
        <f>'Actuarial balances'!D285</f>
        <v>1929847.3561105281</v>
      </c>
      <c r="D50" s="29">
        <f t="shared" si="5"/>
        <v>29496222.674876835</v>
      </c>
      <c r="F50" s="29">
        <f>'Actuarial balances'!F249</f>
        <v>29496222.674876831</v>
      </c>
      <c r="H50" s="29">
        <f t="shared" si="4"/>
        <v>0</v>
      </c>
    </row>
    <row r="51" spans="1:8" x14ac:dyDescent="0.25">
      <c r="A51" s="13">
        <v>7</v>
      </c>
      <c r="B51" s="29">
        <f>'Invested asset rollforwards'!L60</f>
        <v>31275906.434400141</v>
      </c>
      <c r="C51" s="29">
        <f>'Actuarial balances'!D286</f>
        <v>1405538.8946751999</v>
      </c>
      <c r="D51" s="29">
        <f t="shared" si="5"/>
        <v>32681445.32907534</v>
      </c>
      <c r="F51" s="29">
        <f>'Actuarial balances'!F250</f>
        <v>32681445.329075336</v>
      </c>
      <c r="H51" s="29">
        <f t="shared" si="4"/>
        <v>0</v>
      </c>
    </row>
    <row r="52" spans="1:8" x14ac:dyDescent="0.25">
      <c r="A52" s="13">
        <v>8</v>
      </c>
      <c r="B52" s="29">
        <f>'Invested asset rollforwards'!L61</f>
        <v>34995929.931279063</v>
      </c>
      <c r="C52" s="29">
        <f>'Actuarial balances'!D287</f>
        <v>913506.57899926114</v>
      </c>
      <c r="D52" s="29">
        <f t="shared" si="5"/>
        <v>35909436.510278322</v>
      </c>
      <c r="F52" s="29">
        <f>'Actuarial balances'!F251</f>
        <v>35909436.510278322</v>
      </c>
      <c r="H52" s="29">
        <f t="shared" si="4"/>
        <v>0</v>
      </c>
    </row>
    <row r="53" spans="1:8" x14ac:dyDescent="0.25">
      <c r="A53" s="13">
        <v>9</v>
      </c>
      <c r="B53" s="29">
        <f>'Invested asset rollforwards'!L62</f>
        <v>38857232.325372949</v>
      </c>
      <c r="C53" s="29">
        <f>'Actuarial balances'!D288</f>
        <v>446949.50708521786</v>
      </c>
      <c r="D53" s="29">
        <f t="shared" si="5"/>
        <v>39304181.832458168</v>
      </c>
      <c r="F53" s="29">
        <f>'Actuarial balances'!F252</f>
        <v>39304181.832458161</v>
      </c>
      <c r="H53" s="29">
        <f t="shared" si="4"/>
        <v>0</v>
      </c>
    </row>
    <row r="54" spans="1:8" x14ac:dyDescent="0.25">
      <c r="A54" s="13">
        <v>10</v>
      </c>
      <c r="B54" s="29">
        <f>'Invested asset rollforwards'!L63</f>
        <v>0</v>
      </c>
      <c r="C54" s="29">
        <f>'Actuarial balances'!D101</f>
        <v>0</v>
      </c>
      <c r="D54" s="29">
        <f t="shared" si="5"/>
        <v>0</v>
      </c>
      <c r="F54" s="29">
        <f>'Actuarial balances'!F253</f>
        <v>0</v>
      </c>
      <c r="H54" s="29">
        <f t="shared" si="4"/>
        <v>0</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60"/>
  <sheetViews>
    <sheetView workbookViewId="0">
      <selection activeCell="A44" sqref="A44"/>
    </sheetView>
  </sheetViews>
  <sheetFormatPr defaultColWidth="8.7109375" defaultRowHeight="15" x14ac:dyDescent="0.25"/>
  <cols>
    <col min="1" max="1" width="22.140625" style="13" bestFit="1" customWidth="1"/>
    <col min="2" max="2" width="8.7109375" style="13"/>
    <col min="3" max="3" width="11.85546875" style="13" customWidth="1"/>
    <col min="4" max="4" width="11" style="13" bestFit="1" customWidth="1"/>
    <col min="5" max="16384" width="8.7109375" style="13"/>
  </cols>
  <sheetData>
    <row r="1" spans="1:5" x14ac:dyDescent="0.25">
      <c r="A1" s="14" t="s">
        <v>157</v>
      </c>
    </row>
    <row r="2" spans="1:5" x14ac:dyDescent="0.25">
      <c r="A2" s="6" t="s">
        <v>168</v>
      </c>
    </row>
    <row r="3" spans="1:5" x14ac:dyDescent="0.25">
      <c r="A3" s="16" t="s">
        <v>158</v>
      </c>
    </row>
    <row r="4" spans="1:5" x14ac:dyDescent="0.25">
      <c r="A4" s="17" t="s">
        <v>169</v>
      </c>
    </row>
    <row r="5" spans="1:5" x14ac:dyDescent="0.25">
      <c r="A5" s="1"/>
    </row>
    <row r="6" spans="1:5" x14ac:dyDescent="0.25">
      <c r="A6" s="1" t="s">
        <v>54</v>
      </c>
    </row>
    <row r="7" spans="1:5" x14ac:dyDescent="0.25">
      <c r="A7" s="1"/>
    </row>
    <row r="8" spans="1:5" x14ac:dyDescent="0.25">
      <c r="A8" s="1" t="s">
        <v>84</v>
      </c>
    </row>
    <row r="10" spans="1:5" x14ac:dyDescent="0.25">
      <c r="A10" s="3"/>
      <c r="B10" s="20" t="s">
        <v>12</v>
      </c>
      <c r="C10" s="20"/>
      <c r="D10" s="20"/>
      <c r="E10" s="20" t="s">
        <v>12</v>
      </c>
    </row>
    <row r="11" spans="1:5" x14ac:dyDescent="0.25">
      <c r="B11" s="20" t="s">
        <v>15</v>
      </c>
      <c r="C11" s="20"/>
      <c r="D11" s="20"/>
      <c r="E11" s="20" t="s">
        <v>15</v>
      </c>
    </row>
    <row r="12" spans="1:5" x14ac:dyDescent="0.25">
      <c r="A12" s="20" t="s">
        <v>0</v>
      </c>
      <c r="B12" s="20" t="s">
        <v>55</v>
      </c>
      <c r="C12" s="20" t="s">
        <v>46</v>
      </c>
      <c r="D12" s="20" t="s">
        <v>16</v>
      </c>
      <c r="E12" s="20" t="s">
        <v>30</v>
      </c>
    </row>
    <row r="13" spans="1:5" x14ac:dyDescent="0.25">
      <c r="A13" s="2" t="s">
        <v>1</v>
      </c>
      <c r="B13" s="2" t="s">
        <v>1</v>
      </c>
      <c r="C13" s="2" t="s">
        <v>8</v>
      </c>
      <c r="D13" s="2" t="s">
        <v>17</v>
      </c>
      <c r="E13" s="2" t="s">
        <v>1</v>
      </c>
    </row>
    <row r="14" spans="1:5" x14ac:dyDescent="0.25">
      <c r="E14" s="22">
        <v>0</v>
      </c>
    </row>
    <row r="15" spans="1:5" x14ac:dyDescent="0.25">
      <c r="A15" s="13">
        <v>1</v>
      </c>
      <c r="B15" s="29">
        <f>E14</f>
        <v>0</v>
      </c>
      <c r="C15" s="29">
        <f>'Income statement'!L14</f>
        <v>-158172.20639250951</v>
      </c>
      <c r="D15" s="29">
        <f>'Invested asset rollforwards'!K16</f>
        <v>158172.20639250951</v>
      </c>
      <c r="E15" s="29">
        <f>E14+B15+C15+D15</f>
        <v>0</v>
      </c>
    </row>
    <row r="16" spans="1:5" x14ac:dyDescent="0.25">
      <c r="A16" s="13">
        <v>2</v>
      </c>
      <c r="B16" s="29">
        <f t="shared" ref="B16:B24" si="0">E15</f>
        <v>0</v>
      </c>
      <c r="C16" s="29">
        <f>'Income statement'!L15</f>
        <v>-24966.43511224119</v>
      </c>
      <c r="D16" s="29">
        <f>'Invested asset rollforwards'!K17</f>
        <v>24966.43511224119</v>
      </c>
      <c r="E16" s="29">
        <f t="shared" ref="E16:E24" si="1">E15+B16+C16+D16</f>
        <v>0</v>
      </c>
    </row>
    <row r="17" spans="1:5" x14ac:dyDescent="0.25">
      <c r="A17" s="13">
        <v>3</v>
      </c>
      <c r="B17" s="29">
        <f t="shared" si="0"/>
        <v>0</v>
      </c>
      <c r="C17" s="29">
        <f>'Income statement'!L16</f>
        <v>3415.2003332249587</v>
      </c>
      <c r="D17" s="29">
        <f>'Invested asset rollforwards'!K18</f>
        <v>-3415.2003332249587</v>
      </c>
      <c r="E17" s="29">
        <f t="shared" si="1"/>
        <v>0</v>
      </c>
    </row>
    <row r="18" spans="1:5" x14ac:dyDescent="0.25">
      <c r="A18" s="13">
        <v>4</v>
      </c>
      <c r="B18" s="29">
        <f t="shared" si="0"/>
        <v>0</v>
      </c>
      <c r="C18" s="29">
        <f>'Income statement'!L17</f>
        <v>30588.794972586795</v>
      </c>
      <c r="D18" s="29">
        <f>'Invested asset rollforwards'!K19</f>
        <v>-30588.794972586795</v>
      </c>
      <c r="E18" s="29">
        <f t="shared" si="1"/>
        <v>0</v>
      </c>
    </row>
    <row r="19" spans="1:5" x14ac:dyDescent="0.25">
      <c r="A19" s="13">
        <v>5</v>
      </c>
      <c r="B19" s="29">
        <f t="shared" si="0"/>
        <v>0</v>
      </c>
      <c r="C19" s="29">
        <f>'Income statement'!L18</f>
        <v>55774.349942253204</v>
      </c>
      <c r="D19" s="29">
        <f>'Invested asset rollforwards'!K20</f>
        <v>-55774.349942253204</v>
      </c>
      <c r="E19" s="29">
        <f t="shared" si="1"/>
        <v>0</v>
      </c>
    </row>
    <row r="20" spans="1:5" x14ac:dyDescent="0.25">
      <c r="A20" s="13">
        <v>6</v>
      </c>
      <c r="B20" s="29">
        <f t="shared" si="0"/>
        <v>0</v>
      </c>
      <c r="C20" s="29">
        <f>'Income statement'!L19</f>
        <v>79690.963999873959</v>
      </c>
      <c r="D20" s="29">
        <f>'Invested asset rollforwards'!K21</f>
        <v>-79690.963999873959</v>
      </c>
      <c r="E20" s="29">
        <f t="shared" si="1"/>
        <v>0</v>
      </c>
    </row>
    <row r="21" spans="1:5" x14ac:dyDescent="0.25">
      <c r="A21" s="13">
        <v>7</v>
      </c>
      <c r="B21" s="29">
        <f t="shared" si="0"/>
        <v>0</v>
      </c>
      <c r="C21" s="29">
        <f>'Income statement'!L20</f>
        <v>102923.72729756485</v>
      </c>
      <c r="D21" s="29">
        <f>'Invested asset rollforwards'!K22</f>
        <v>-102923.72729756485</v>
      </c>
      <c r="E21" s="29">
        <f t="shared" si="1"/>
        <v>0</v>
      </c>
    </row>
    <row r="22" spans="1:5" x14ac:dyDescent="0.25">
      <c r="A22" s="13">
        <v>8</v>
      </c>
      <c r="B22" s="29">
        <f t="shared" si="0"/>
        <v>0</v>
      </c>
      <c r="C22" s="29">
        <f>'Income statement'!L21</f>
        <v>125946.53997202532</v>
      </c>
      <c r="D22" s="29">
        <f>'Invested asset rollforwards'!K23</f>
        <v>-125946.53997202532</v>
      </c>
      <c r="E22" s="29">
        <f t="shared" si="1"/>
        <v>0</v>
      </c>
    </row>
    <row r="23" spans="1:5" x14ac:dyDescent="0.25">
      <c r="A23" s="13">
        <v>9</v>
      </c>
      <c r="B23" s="29">
        <f t="shared" si="0"/>
        <v>0</v>
      </c>
      <c r="C23" s="29">
        <f>'Income statement'!L22</f>
        <v>149183.78359801491</v>
      </c>
      <c r="D23" s="29">
        <f>'Invested asset rollforwards'!K24</f>
        <v>-149183.78359801491</v>
      </c>
      <c r="E23" s="29">
        <f t="shared" si="1"/>
        <v>0</v>
      </c>
    </row>
    <row r="24" spans="1:5" x14ac:dyDescent="0.25">
      <c r="A24" s="13">
        <v>10</v>
      </c>
      <c r="B24" s="29">
        <f t="shared" si="0"/>
        <v>0</v>
      </c>
      <c r="C24" s="29">
        <f>'Income statement'!L23</f>
        <v>173023.7864928128</v>
      </c>
      <c r="D24" s="29">
        <f>'Invested asset rollforwards'!K25</f>
        <v>-173023.7864928128</v>
      </c>
      <c r="E24" s="29">
        <f t="shared" si="1"/>
        <v>0</v>
      </c>
    </row>
    <row r="25" spans="1:5" x14ac:dyDescent="0.25">
      <c r="B25" s="29"/>
      <c r="C25" s="29"/>
      <c r="D25" s="29"/>
      <c r="E25" s="29"/>
    </row>
    <row r="26" spans="1:5" x14ac:dyDescent="0.25">
      <c r="A26" s="4" t="s">
        <v>85</v>
      </c>
      <c r="B26" s="29"/>
      <c r="C26" s="29"/>
      <c r="D26" s="29"/>
      <c r="E26" s="29"/>
    </row>
    <row r="27" spans="1:5" x14ac:dyDescent="0.25">
      <c r="B27" s="29"/>
      <c r="C27" s="29"/>
      <c r="D27" s="29"/>
      <c r="E27" s="29"/>
    </row>
    <row r="28" spans="1:5" x14ac:dyDescent="0.25">
      <c r="A28" s="3"/>
      <c r="B28" s="20" t="s">
        <v>12</v>
      </c>
      <c r="C28" s="20"/>
      <c r="D28" s="20"/>
      <c r="E28" s="20" t="s">
        <v>12</v>
      </c>
    </row>
    <row r="29" spans="1:5" x14ac:dyDescent="0.25">
      <c r="B29" s="20" t="s">
        <v>15</v>
      </c>
      <c r="C29" s="20"/>
      <c r="D29" s="20"/>
      <c r="E29" s="20" t="s">
        <v>15</v>
      </c>
    </row>
    <row r="30" spans="1:5" x14ac:dyDescent="0.25">
      <c r="A30" s="20" t="s">
        <v>0</v>
      </c>
      <c r="B30" s="20" t="s">
        <v>55</v>
      </c>
      <c r="C30" s="20" t="s">
        <v>46</v>
      </c>
      <c r="D30" s="20" t="s">
        <v>16</v>
      </c>
      <c r="E30" s="20" t="s">
        <v>30</v>
      </c>
    </row>
    <row r="31" spans="1:5" x14ac:dyDescent="0.25">
      <c r="A31" s="2" t="s">
        <v>1</v>
      </c>
      <c r="B31" s="2" t="s">
        <v>1</v>
      </c>
      <c r="C31" s="2" t="s">
        <v>8</v>
      </c>
      <c r="D31" s="2" t="s">
        <v>17</v>
      </c>
      <c r="E31" s="2" t="s">
        <v>1</v>
      </c>
    </row>
    <row r="32" spans="1:5" x14ac:dyDescent="0.25">
      <c r="E32" s="29">
        <v>0</v>
      </c>
    </row>
    <row r="33" spans="1:5" x14ac:dyDescent="0.25">
      <c r="A33" s="13">
        <v>1</v>
      </c>
      <c r="B33" s="29">
        <f>E32</f>
        <v>0</v>
      </c>
      <c r="C33" s="29">
        <f>'Income statement'!L31</f>
        <v>-158172.20639250951</v>
      </c>
      <c r="D33" s="29">
        <f>'Invested asset rollforwards'!K35</f>
        <v>158172.20639250951</v>
      </c>
      <c r="E33" s="29">
        <f>E32+B33+C33+D33</f>
        <v>0</v>
      </c>
    </row>
    <row r="34" spans="1:5" x14ac:dyDescent="0.25">
      <c r="A34" s="13">
        <v>2</v>
      </c>
      <c r="B34" s="29">
        <f t="shared" ref="B34:B42" si="2">E33</f>
        <v>0</v>
      </c>
      <c r="C34" s="29">
        <f>'Income statement'!L32</f>
        <v>-24966.43511224119</v>
      </c>
      <c r="D34" s="29">
        <f>'Invested asset rollforwards'!K36</f>
        <v>24966.43511224119</v>
      </c>
      <c r="E34" s="29">
        <f t="shared" ref="E34:E42" si="3">E33+B34+C34+D34</f>
        <v>0</v>
      </c>
    </row>
    <row r="35" spans="1:5" x14ac:dyDescent="0.25">
      <c r="A35" s="13">
        <v>3</v>
      </c>
      <c r="B35" s="29">
        <f t="shared" si="2"/>
        <v>0</v>
      </c>
      <c r="C35" s="29">
        <f>'Income statement'!L33</f>
        <v>3415.2003332249587</v>
      </c>
      <c r="D35" s="29">
        <f>'Invested asset rollforwards'!K37</f>
        <v>-3415.2003332249587</v>
      </c>
      <c r="E35" s="29">
        <f t="shared" si="3"/>
        <v>0</v>
      </c>
    </row>
    <row r="36" spans="1:5" x14ac:dyDescent="0.25">
      <c r="A36" s="13">
        <v>4</v>
      </c>
      <c r="B36" s="29">
        <f t="shared" si="2"/>
        <v>0</v>
      </c>
      <c r="C36" s="29">
        <f>'Income statement'!L34</f>
        <v>30588.794972586795</v>
      </c>
      <c r="D36" s="29">
        <f>'Invested asset rollforwards'!K38</f>
        <v>-30588.794972586795</v>
      </c>
      <c r="E36" s="29">
        <f t="shared" si="3"/>
        <v>0</v>
      </c>
    </row>
    <row r="37" spans="1:5" x14ac:dyDescent="0.25">
      <c r="A37" s="13">
        <v>5</v>
      </c>
      <c r="B37" s="29">
        <f t="shared" si="2"/>
        <v>0</v>
      </c>
      <c r="C37" s="29">
        <f>'Income statement'!L35</f>
        <v>47974.991441946593</v>
      </c>
      <c r="D37" s="29">
        <f>'Invested asset rollforwards'!K39</f>
        <v>-47974.991441946593</v>
      </c>
      <c r="E37" s="29">
        <f t="shared" si="3"/>
        <v>0</v>
      </c>
    </row>
    <row r="38" spans="1:5" x14ac:dyDescent="0.25">
      <c r="A38" s="13">
        <v>6</v>
      </c>
      <c r="B38" s="29">
        <f t="shared" si="2"/>
        <v>0</v>
      </c>
      <c r="C38" s="29">
        <f>'Income statement'!L36</f>
        <v>78731.075173238874</v>
      </c>
      <c r="D38" s="29">
        <f>'Invested asset rollforwards'!K40</f>
        <v>-78731.075173238874</v>
      </c>
      <c r="E38" s="29">
        <f t="shared" si="3"/>
        <v>0</v>
      </c>
    </row>
    <row r="39" spans="1:5" x14ac:dyDescent="0.25">
      <c r="A39" s="13">
        <v>7</v>
      </c>
      <c r="B39" s="29">
        <f t="shared" si="2"/>
        <v>0</v>
      </c>
      <c r="C39" s="29">
        <f>'Income statement'!L37</f>
        <v>102024.31134114187</v>
      </c>
      <c r="D39" s="29">
        <f>'Invested asset rollforwards'!K41</f>
        <v>-102024.31134114187</v>
      </c>
      <c r="E39" s="29">
        <f t="shared" si="3"/>
        <v>0</v>
      </c>
    </row>
    <row r="40" spans="1:5" x14ac:dyDescent="0.25">
      <c r="A40" s="13">
        <v>8</v>
      </c>
      <c r="B40" s="29">
        <f t="shared" si="2"/>
        <v>0</v>
      </c>
      <c r="C40" s="29">
        <f>'Income statement'!L38</f>
        <v>125094.43834577879</v>
      </c>
      <c r="D40" s="29">
        <f>'Invested asset rollforwards'!K42</f>
        <v>-125094.43834577879</v>
      </c>
      <c r="E40" s="29">
        <f t="shared" si="3"/>
        <v>0</v>
      </c>
    </row>
    <row r="41" spans="1:5" x14ac:dyDescent="0.25">
      <c r="A41" s="13">
        <v>9</v>
      </c>
      <c r="B41" s="29">
        <f t="shared" si="2"/>
        <v>0</v>
      </c>
      <c r="C41" s="29">
        <f>'Income statement'!L39</f>
        <v>148367.7234556246</v>
      </c>
      <c r="D41" s="29">
        <f>'Invested asset rollforwards'!K43</f>
        <v>-148367.7234556246</v>
      </c>
      <c r="E41" s="29">
        <f t="shared" si="3"/>
        <v>0</v>
      </c>
    </row>
    <row r="42" spans="1:5" x14ac:dyDescent="0.25">
      <c r="A42" s="13">
        <v>10</v>
      </c>
      <c r="B42" s="29">
        <f t="shared" si="2"/>
        <v>0</v>
      </c>
      <c r="C42" s="29">
        <f>'Income statement'!L40</f>
        <v>172233.92307801056</v>
      </c>
      <c r="D42" s="29">
        <f>'Invested asset rollforwards'!K44</f>
        <v>-172233.92307801056</v>
      </c>
      <c r="E42" s="29">
        <f t="shared" si="3"/>
        <v>0</v>
      </c>
    </row>
    <row r="44" spans="1:5" x14ac:dyDescent="0.25">
      <c r="A44" s="4" t="s">
        <v>187</v>
      </c>
      <c r="B44" s="29"/>
      <c r="C44" s="29"/>
      <c r="D44" s="29"/>
      <c r="E44" s="29"/>
    </row>
    <row r="45" spans="1:5" x14ac:dyDescent="0.25">
      <c r="B45" s="29"/>
      <c r="C45" s="29"/>
      <c r="D45" s="29"/>
      <c r="E45" s="29"/>
    </row>
    <row r="46" spans="1:5" x14ac:dyDescent="0.25">
      <c r="A46" s="3"/>
      <c r="B46" s="20" t="s">
        <v>12</v>
      </c>
      <c r="C46" s="20"/>
      <c r="D46" s="20"/>
      <c r="E46" s="20" t="s">
        <v>12</v>
      </c>
    </row>
    <row r="47" spans="1:5" x14ac:dyDescent="0.25">
      <c r="B47" s="20" t="s">
        <v>15</v>
      </c>
      <c r="C47" s="20"/>
      <c r="D47" s="20"/>
      <c r="E47" s="20" t="s">
        <v>15</v>
      </c>
    </row>
    <row r="48" spans="1:5" x14ac:dyDescent="0.25">
      <c r="A48" s="20" t="s">
        <v>0</v>
      </c>
      <c r="B48" s="20" t="s">
        <v>55</v>
      </c>
      <c r="C48" s="20" t="s">
        <v>46</v>
      </c>
      <c r="D48" s="20" t="s">
        <v>16</v>
      </c>
      <c r="E48" s="20" t="s">
        <v>30</v>
      </c>
    </row>
    <row r="49" spans="1:5" x14ac:dyDescent="0.25">
      <c r="A49" s="2" t="s">
        <v>1</v>
      </c>
      <c r="B49" s="2" t="s">
        <v>1</v>
      </c>
      <c r="C49" s="2" t="s">
        <v>8</v>
      </c>
      <c r="D49" s="2" t="s">
        <v>17</v>
      </c>
      <c r="E49" s="2" t="s">
        <v>1</v>
      </c>
    </row>
    <row r="50" spans="1:5" x14ac:dyDescent="0.25">
      <c r="E50" s="29">
        <v>0</v>
      </c>
    </row>
    <row r="51" spans="1:5" x14ac:dyDescent="0.25">
      <c r="A51" s="13">
        <v>1</v>
      </c>
      <c r="B51" s="29">
        <f>E50</f>
        <v>0</v>
      </c>
      <c r="C51" s="29">
        <f>'Income statement'!L48</f>
        <v>-158172.20639250951</v>
      </c>
      <c r="D51" s="29">
        <f>'Invested asset rollforwards'!K54</f>
        <v>158172.20639250951</v>
      </c>
      <c r="E51" s="29">
        <f>E50+B51+C51+D51</f>
        <v>0</v>
      </c>
    </row>
    <row r="52" spans="1:5" x14ac:dyDescent="0.25">
      <c r="A52" s="13">
        <v>2</v>
      </c>
      <c r="B52" s="29">
        <f t="shared" ref="B52:B60" si="4">E51</f>
        <v>0</v>
      </c>
      <c r="C52" s="29">
        <f>'Income statement'!L49</f>
        <v>-24966.43511224119</v>
      </c>
      <c r="D52" s="29">
        <f>'Invested asset rollforwards'!K55</f>
        <v>24966.43511224119</v>
      </c>
      <c r="E52" s="29">
        <f t="shared" ref="E52:E60" si="5">E51+B52+C52+D52</f>
        <v>0</v>
      </c>
    </row>
    <row r="53" spans="1:5" x14ac:dyDescent="0.25">
      <c r="A53" s="13">
        <v>3</v>
      </c>
      <c r="B53" s="29">
        <f t="shared" si="4"/>
        <v>0</v>
      </c>
      <c r="C53" s="29">
        <f>'Income statement'!L50</f>
        <v>3415.2003332249587</v>
      </c>
      <c r="D53" s="29">
        <f>'Invested asset rollforwards'!K56</f>
        <v>-3415.2003332249587</v>
      </c>
      <c r="E53" s="29">
        <f t="shared" si="5"/>
        <v>0</v>
      </c>
    </row>
    <row r="54" spans="1:5" x14ac:dyDescent="0.25">
      <c r="A54" s="13">
        <v>4</v>
      </c>
      <c r="B54" s="29">
        <f t="shared" si="4"/>
        <v>0</v>
      </c>
      <c r="C54" s="29">
        <f>'Income statement'!L51</f>
        <v>30588.794972586795</v>
      </c>
      <c r="D54" s="29">
        <f>'Invested asset rollforwards'!K57</f>
        <v>-30588.794972586795</v>
      </c>
      <c r="E54" s="29">
        <f t="shared" si="5"/>
        <v>0</v>
      </c>
    </row>
    <row r="55" spans="1:5" x14ac:dyDescent="0.25">
      <c r="A55" s="13">
        <v>5</v>
      </c>
      <c r="B55" s="29">
        <f t="shared" si="4"/>
        <v>0</v>
      </c>
      <c r="C55" s="29">
        <f>'Income statement'!L52</f>
        <v>45062.796429131296</v>
      </c>
      <c r="D55" s="29">
        <f>'Invested asset rollforwards'!K58</f>
        <v>-45062.796429131296</v>
      </c>
      <c r="E55" s="29">
        <f t="shared" si="5"/>
        <v>0</v>
      </c>
    </row>
    <row r="56" spans="1:5" x14ac:dyDescent="0.25">
      <c r="A56" s="13">
        <v>6</v>
      </c>
      <c r="B56" s="29">
        <f t="shared" si="4"/>
        <v>0</v>
      </c>
      <c r="C56" s="29">
        <f>'Income statement'!L53</f>
        <v>78269.017869470175</v>
      </c>
      <c r="D56" s="29">
        <f>'Invested asset rollforwards'!K59</f>
        <v>-78269.017869470175</v>
      </c>
      <c r="E56" s="29">
        <f t="shared" si="5"/>
        <v>0</v>
      </c>
    </row>
    <row r="57" spans="1:5" x14ac:dyDescent="0.25">
      <c r="A57" s="13">
        <v>7</v>
      </c>
      <c r="B57" s="29">
        <f t="shared" si="4"/>
        <v>0</v>
      </c>
      <c r="C57" s="29">
        <f>'Income statement'!L54</f>
        <v>101583.31856531405</v>
      </c>
      <c r="D57" s="29">
        <f>'Invested asset rollforwards'!K60</f>
        <v>-101583.31856531405</v>
      </c>
      <c r="E57" s="29">
        <f t="shared" si="5"/>
        <v>0</v>
      </c>
    </row>
    <row r="58" spans="1:5" x14ac:dyDescent="0.25">
      <c r="A58" s="13">
        <v>8</v>
      </c>
      <c r="B58" s="29">
        <f t="shared" si="4"/>
        <v>0</v>
      </c>
      <c r="C58" s="29">
        <f>'Income statement'!L55</f>
        <v>124664.90591343312</v>
      </c>
      <c r="D58" s="29">
        <f>'Invested asset rollforwards'!K61</f>
        <v>-124664.90591343312</v>
      </c>
      <c r="E58" s="29">
        <f t="shared" si="5"/>
        <v>0</v>
      </c>
    </row>
    <row r="59" spans="1:5" x14ac:dyDescent="0.25">
      <c r="A59" s="13">
        <v>9</v>
      </c>
      <c r="B59" s="29">
        <f t="shared" si="4"/>
        <v>0</v>
      </c>
      <c r="C59" s="29">
        <f>'Income statement'!L56</f>
        <v>147940.67742523446</v>
      </c>
      <c r="D59" s="29">
        <f>'Invested asset rollforwards'!K62</f>
        <v>-147940.67742523446</v>
      </c>
      <c r="E59" s="29">
        <f t="shared" si="5"/>
        <v>0</v>
      </c>
    </row>
    <row r="60" spans="1:5" x14ac:dyDescent="0.25">
      <c r="A60" s="13">
        <v>10</v>
      </c>
      <c r="B60" s="29">
        <f t="shared" si="4"/>
        <v>0</v>
      </c>
      <c r="C60" s="29">
        <f>'Income statement'!L57</f>
        <v>171800.53937097773</v>
      </c>
      <c r="D60" s="29">
        <f>'Invested asset rollforwards'!K63</f>
        <v>-171800.53937097773</v>
      </c>
      <c r="E60" s="29">
        <f t="shared" si="5"/>
        <v>0</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87"/>
  <sheetViews>
    <sheetView topLeftCell="A43" zoomScaleNormal="100" workbookViewId="0">
      <selection activeCell="C3" sqref="C3"/>
    </sheetView>
  </sheetViews>
  <sheetFormatPr defaultColWidth="8.7109375" defaultRowHeight="15" x14ac:dyDescent="0.25"/>
  <cols>
    <col min="1" max="1" width="8.7109375" style="13"/>
    <col min="2" max="2" width="16.5703125" style="13" bestFit="1" customWidth="1"/>
    <col min="3" max="3" width="13.28515625" style="13" bestFit="1" customWidth="1"/>
    <col min="4" max="4" width="20.85546875" style="13" bestFit="1" customWidth="1"/>
    <col min="5" max="5" width="10.5703125" style="13" bestFit="1" customWidth="1"/>
    <col min="6" max="6" width="8.7109375" style="13"/>
    <col min="7" max="7" width="11.7109375" style="13" customWidth="1"/>
    <col min="8" max="8" width="9.7109375" style="13" bestFit="1" customWidth="1"/>
    <col min="9" max="9" width="11.7109375" style="13" customWidth="1"/>
    <col min="10" max="10" width="11.7109375" style="13" bestFit="1" customWidth="1"/>
    <col min="11" max="12" width="8.7109375" style="13"/>
    <col min="13" max="13" width="10.5703125" style="13" customWidth="1"/>
    <col min="14" max="14" width="10.7109375" style="13" customWidth="1"/>
    <col min="15" max="16384" width="8.7109375" style="13"/>
  </cols>
  <sheetData>
    <row r="1" spans="1:4" x14ac:dyDescent="0.25">
      <c r="A1" s="14" t="s">
        <v>157</v>
      </c>
    </row>
    <row r="2" spans="1:4" x14ac:dyDescent="0.25">
      <c r="A2" s="6" t="s">
        <v>168</v>
      </c>
    </row>
    <row r="3" spans="1:4" x14ac:dyDescent="0.25">
      <c r="A3" s="16" t="s">
        <v>158</v>
      </c>
    </row>
    <row r="4" spans="1:4" x14ac:dyDescent="0.25">
      <c r="A4" s="17" t="s">
        <v>169</v>
      </c>
    </row>
    <row r="6" spans="1:4" x14ac:dyDescent="0.25">
      <c r="A6" s="13" t="s">
        <v>1</v>
      </c>
      <c r="B6" s="13" t="s">
        <v>110</v>
      </c>
      <c r="C6" s="13" t="s">
        <v>111</v>
      </c>
      <c r="D6" s="13" t="s">
        <v>112</v>
      </c>
    </row>
    <row r="7" spans="1:4" x14ac:dyDescent="0.25">
      <c r="A7" s="13">
        <v>1</v>
      </c>
      <c r="B7" s="13">
        <f>'Income statement'!L14</f>
        <v>-158172.20639250951</v>
      </c>
      <c r="C7" s="13">
        <f>'Income statement'!L31</f>
        <v>-158172.20639250951</v>
      </c>
      <c r="D7" s="13">
        <f>'Income statement'!L48</f>
        <v>-158172.20639250951</v>
      </c>
    </row>
    <row r="8" spans="1:4" x14ac:dyDescent="0.25">
      <c r="A8" s="13">
        <v>2</v>
      </c>
      <c r="B8" s="13">
        <f>'Income statement'!L15</f>
        <v>-24966.43511224119</v>
      </c>
      <c r="C8" s="13">
        <f>'Income statement'!L32</f>
        <v>-24966.43511224119</v>
      </c>
      <c r="D8" s="13">
        <f>'Income statement'!L49</f>
        <v>-24966.43511224119</v>
      </c>
    </row>
    <row r="9" spans="1:4" x14ac:dyDescent="0.25">
      <c r="A9" s="13">
        <v>3</v>
      </c>
      <c r="B9" s="13">
        <f>'Income statement'!L16</f>
        <v>3415.2003332249587</v>
      </c>
      <c r="C9" s="13">
        <f>'Income statement'!L33</f>
        <v>3415.2003332249587</v>
      </c>
      <c r="D9" s="13">
        <f>'Income statement'!L50</f>
        <v>3415.2003332249587</v>
      </c>
    </row>
    <row r="10" spans="1:4" x14ac:dyDescent="0.25">
      <c r="A10" s="13">
        <v>4</v>
      </c>
      <c r="B10" s="13">
        <f>'Income statement'!L17</f>
        <v>30588.794972586795</v>
      </c>
      <c r="C10" s="13">
        <f>'Income statement'!L34</f>
        <v>30588.794972586795</v>
      </c>
      <c r="D10" s="13">
        <f>'Income statement'!L51</f>
        <v>30588.794972586795</v>
      </c>
    </row>
    <row r="11" spans="1:4" x14ac:dyDescent="0.25">
      <c r="A11" s="13">
        <v>5</v>
      </c>
      <c r="B11" s="13">
        <f>'Income statement'!L18</f>
        <v>55774.349942253204</v>
      </c>
      <c r="C11" s="13">
        <f>'Income statement'!L35</f>
        <v>47974.991441946593</v>
      </c>
      <c r="D11" s="13">
        <f>'Income statement'!L52</f>
        <v>45062.796429131296</v>
      </c>
    </row>
    <row r="12" spans="1:4" x14ac:dyDescent="0.25">
      <c r="A12" s="13">
        <v>6</v>
      </c>
      <c r="B12" s="13">
        <f>'Income statement'!L19</f>
        <v>79690.963999873959</v>
      </c>
      <c r="C12" s="13">
        <f>'Income statement'!L36</f>
        <v>78731.075173238874</v>
      </c>
      <c r="D12" s="13">
        <f>'Income statement'!L53</f>
        <v>78269.017869470175</v>
      </c>
    </row>
    <row r="13" spans="1:4" x14ac:dyDescent="0.25">
      <c r="A13" s="13">
        <v>7</v>
      </c>
      <c r="B13" s="13">
        <f>'Income statement'!L20</f>
        <v>102923.72729756485</v>
      </c>
      <c r="C13" s="13">
        <f>'Income statement'!L37</f>
        <v>102024.31134114187</v>
      </c>
      <c r="D13" s="13">
        <f>'Income statement'!L54</f>
        <v>101583.31856531405</v>
      </c>
    </row>
    <row r="14" spans="1:4" x14ac:dyDescent="0.25">
      <c r="A14" s="13">
        <v>8</v>
      </c>
      <c r="B14" s="13">
        <f>'Income statement'!L21</f>
        <v>125946.53997202532</v>
      </c>
      <c r="C14" s="13">
        <f>'Income statement'!L38</f>
        <v>125094.43834577879</v>
      </c>
      <c r="D14" s="13">
        <f>'Income statement'!L55</f>
        <v>124664.90591343312</v>
      </c>
    </row>
    <row r="15" spans="1:4" x14ac:dyDescent="0.25">
      <c r="A15" s="13">
        <v>9</v>
      </c>
      <c r="B15" s="13">
        <f>'Income statement'!L22</f>
        <v>149183.78359801491</v>
      </c>
      <c r="C15" s="13">
        <f>'Income statement'!L39</f>
        <v>148367.7234556246</v>
      </c>
      <c r="D15" s="13">
        <f>'Income statement'!L56</f>
        <v>147940.67742523446</v>
      </c>
    </row>
    <row r="16" spans="1:4" x14ac:dyDescent="0.25">
      <c r="A16" s="13">
        <v>10</v>
      </c>
      <c r="B16" s="13">
        <f>'Income statement'!L23</f>
        <v>173023.7864928128</v>
      </c>
      <c r="C16" s="13">
        <f>'Income statement'!L40</f>
        <v>172233.92307801056</v>
      </c>
      <c r="D16" s="13">
        <f>'Income statement'!L57</f>
        <v>171800.53937097773</v>
      </c>
    </row>
    <row r="19" spans="1:4" x14ac:dyDescent="0.25">
      <c r="A19" s="13" t="s">
        <v>1</v>
      </c>
      <c r="B19" s="13" t="s">
        <v>110</v>
      </c>
      <c r="C19" s="13" t="s">
        <v>111</v>
      </c>
      <c r="D19" s="13" t="s">
        <v>112</v>
      </c>
    </row>
    <row r="21" spans="1:4" x14ac:dyDescent="0.25">
      <c r="A21" s="13">
        <v>5</v>
      </c>
      <c r="B21" s="13">
        <f t="shared" ref="B21:D21" si="0">B11</f>
        <v>55774.349942253204</v>
      </c>
      <c r="C21" s="13">
        <f t="shared" si="0"/>
        <v>47974.991441946593</v>
      </c>
      <c r="D21" s="13">
        <f t="shared" si="0"/>
        <v>45062.796429131296</v>
      </c>
    </row>
    <row r="22" spans="1:4" x14ac:dyDescent="0.25">
      <c r="A22" s="13">
        <v>6</v>
      </c>
      <c r="B22" s="13">
        <f t="shared" ref="B22:D22" si="1">B12</f>
        <v>79690.963999873959</v>
      </c>
      <c r="C22" s="13">
        <f t="shared" si="1"/>
        <v>78731.075173238874</v>
      </c>
      <c r="D22" s="13">
        <f t="shared" si="1"/>
        <v>78269.017869470175</v>
      </c>
    </row>
    <row r="41" spans="1:15" x14ac:dyDescent="0.25">
      <c r="B41" s="13" t="s">
        <v>151</v>
      </c>
    </row>
    <row r="42" spans="1:15" x14ac:dyDescent="0.25">
      <c r="B42" s="3" t="s">
        <v>121</v>
      </c>
    </row>
    <row r="43" spans="1:15" x14ac:dyDescent="0.25">
      <c r="D43" s="13" t="s">
        <v>120</v>
      </c>
    </row>
    <row r="44" spans="1:15" x14ac:dyDescent="0.25">
      <c r="B44" s="13" t="s">
        <v>113</v>
      </c>
      <c r="C44" s="13" t="s">
        <v>115</v>
      </c>
      <c r="D44" s="13" t="s">
        <v>118</v>
      </c>
      <c r="E44" s="13" t="s">
        <v>119</v>
      </c>
      <c r="G44" s="13" t="s">
        <v>113</v>
      </c>
      <c r="H44" s="13" t="s">
        <v>115</v>
      </c>
      <c r="I44" s="13" t="s">
        <v>4</v>
      </c>
      <c r="J44" s="13" t="s">
        <v>128</v>
      </c>
      <c r="K44" s="13" t="s">
        <v>126</v>
      </c>
      <c r="L44" s="13" t="s">
        <v>62</v>
      </c>
      <c r="M44" s="13" t="s">
        <v>46</v>
      </c>
    </row>
    <row r="45" spans="1:15" x14ac:dyDescent="0.25">
      <c r="B45" s="13" t="s">
        <v>114</v>
      </c>
      <c r="C45" s="13" t="s">
        <v>116</v>
      </c>
      <c r="D45" s="13" t="s">
        <v>117</v>
      </c>
      <c r="E45" s="13" t="s">
        <v>8</v>
      </c>
      <c r="G45" s="13" t="s">
        <v>114</v>
      </c>
      <c r="H45" s="13" t="s">
        <v>116</v>
      </c>
      <c r="I45" s="13" t="s">
        <v>124</v>
      </c>
      <c r="J45" s="13" t="s">
        <v>37</v>
      </c>
      <c r="K45" s="13" t="s">
        <v>127</v>
      </c>
      <c r="L45" s="13" t="s">
        <v>125</v>
      </c>
      <c r="M45" s="13" t="s">
        <v>8</v>
      </c>
    </row>
    <row r="46" spans="1:15" x14ac:dyDescent="0.25">
      <c r="A46" s="13">
        <v>1</v>
      </c>
      <c r="B46" s="24">
        <f>'Income statement'!K14+'Income statement'!G14</f>
        <v>-1106778.0389440362</v>
      </c>
      <c r="C46" s="24">
        <f>'Income statement'!C14-'Actuarial balances'!C55</f>
        <v>-208076.45836340281</v>
      </c>
      <c r="D46" s="24">
        <f>'Income statement'!B14+'Income statement'!D14+'Income statement'!E14+'Income statement'!H14+'Income statement'!I14+'Income statement'!J14+('Income statement'!F14+'Actuarial balances'!C55)</f>
        <v>1156682.2909149295</v>
      </c>
      <c r="E46" s="35">
        <f>SUM(B46:D46)</f>
        <v>-158172.20639250963</v>
      </c>
      <c r="G46" s="35">
        <f t="shared" ref="G46:G55" si="2">B46</f>
        <v>-1106778.0389440362</v>
      </c>
      <c r="H46" s="35">
        <f t="shared" ref="H46:H55" si="3">C46</f>
        <v>-208076.45836340281</v>
      </c>
      <c r="I46" s="24">
        <f>'Income statement'!B14-'Actuarial balances'!B55</f>
        <v>1394182.2909149295</v>
      </c>
      <c r="J46" s="24">
        <f>'Income statement'!H14+'Income statement'!J14</f>
        <v>-237500</v>
      </c>
      <c r="K46" s="24">
        <v>0</v>
      </c>
      <c r="L46" s="24">
        <v>0</v>
      </c>
      <c r="M46" s="35">
        <f>'Income statement'!L14</f>
        <v>-158172.20639250951</v>
      </c>
      <c r="N46" s="35">
        <f>G46+H46+I46+J46</f>
        <v>-158172.20639250963</v>
      </c>
      <c r="O46" s="35">
        <f>M46-N46</f>
        <v>0</v>
      </c>
    </row>
    <row r="47" spans="1:15" x14ac:dyDescent="0.25">
      <c r="A47" s="13">
        <v>2</v>
      </c>
      <c r="B47" s="24">
        <f>'Income statement'!K15+'Income statement'!G15</f>
        <v>-855222.20346257626</v>
      </c>
      <c r="C47" s="24">
        <f>'Income statement'!C15-'Actuarial balances'!C56</f>
        <v>-151710.15041057102</v>
      </c>
      <c r="D47" s="24">
        <f>'Income statement'!B15+'Income statement'!D15+'Income statement'!E15+'Income statement'!H15+'Income statement'!I15+'Income statement'!J15+('Income statement'!F15+'Actuarial balances'!C56)</f>
        <v>981965.91876090597</v>
      </c>
      <c r="E47" s="35">
        <f t="shared" ref="E47:E55" si="4">SUM(B47:D47)</f>
        <v>-24966.435112241306</v>
      </c>
      <c r="G47" s="35">
        <f t="shared" si="2"/>
        <v>-855222.20346257626</v>
      </c>
      <c r="H47" s="35">
        <f t="shared" si="3"/>
        <v>-151710.15041057102</v>
      </c>
      <c r="I47" s="24">
        <f>'Income statement'!B15-'Actuarial balances'!B56</f>
        <v>1184308.3626609053</v>
      </c>
      <c r="J47" s="24">
        <f>'Income statement'!H15+'Income statement'!J15</f>
        <v>-202342.44390000001</v>
      </c>
      <c r="K47" s="24">
        <v>0</v>
      </c>
      <c r="L47" s="24">
        <v>0</v>
      </c>
      <c r="M47" s="35">
        <f>'Income statement'!L15</f>
        <v>-24966.43511224119</v>
      </c>
      <c r="N47" s="35">
        <f t="shared" ref="N47:N55" si="5">G47+H47+I47+J47</f>
        <v>-24966.435112241947</v>
      </c>
      <c r="O47" s="35">
        <f t="shared" ref="O47:O55" si="6">M47-N47</f>
        <v>7.5669959187507629E-10</v>
      </c>
    </row>
    <row r="48" spans="1:15" x14ac:dyDescent="0.25">
      <c r="A48" s="13">
        <v>3</v>
      </c>
      <c r="B48" s="24">
        <f>'Income statement'!K16+'Income statement'!G16</f>
        <v>-752016.04048200091</v>
      </c>
      <c r="C48" s="24">
        <f>'Income statement'!C16-'Actuarial balances'!C57</f>
        <v>-107500.06302954094</v>
      </c>
      <c r="D48" s="24">
        <f>'Income statement'!B16+'Income statement'!D16+'Income statement'!E16+'Income statement'!H16+'Income statement'!I16+'Income statement'!J16+('Income statement'!F16+'Actuarial balances'!C57)</f>
        <v>862931.30384476669</v>
      </c>
      <c r="E48" s="35">
        <f t="shared" si="4"/>
        <v>3415.2003332248423</v>
      </c>
      <c r="G48" s="35">
        <f t="shared" si="2"/>
        <v>-752016.04048200091</v>
      </c>
      <c r="H48" s="35">
        <f t="shared" si="3"/>
        <v>-107500.06302954094</v>
      </c>
      <c r="I48" s="24">
        <f>'Income statement'!B16-'Actuarial balances'!B57</f>
        <v>1041388.8717950573</v>
      </c>
      <c r="J48" s="24">
        <f>'Income statement'!H16+'Income statement'!J16</f>
        <v>-178457.56795029168</v>
      </c>
      <c r="K48" s="24">
        <v>0</v>
      </c>
      <c r="L48" s="24">
        <v>0</v>
      </c>
      <c r="M48" s="35">
        <f>'Income statement'!L16</f>
        <v>3415.2003332249587</v>
      </c>
      <c r="N48" s="35">
        <f t="shared" si="5"/>
        <v>3415.2003332237946</v>
      </c>
      <c r="O48" s="35">
        <f t="shared" si="6"/>
        <v>1.1641532182693481E-9</v>
      </c>
    </row>
    <row r="49" spans="1:15" x14ac:dyDescent="0.25">
      <c r="A49" s="13">
        <v>4</v>
      </c>
      <c r="B49" s="24">
        <f>'Income statement'!K17+'Income statement'!G17</f>
        <v>-676144.39014173136</v>
      </c>
      <c r="C49" s="24">
        <f>'Income statement'!C17-'Actuarial balances'!C58</f>
        <v>-68647.009305771324</v>
      </c>
      <c r="D49" s="24">
        <f>'Income statement'!B17+'Income statement'!D17+'Income statement'!E17+'Income statement'!H17+'Income statement'!I17+'Income statement'!J17+('Income statement'!F17+'Actuarial balances'!C58)</f>
        <v>775380.19442008901</v>
      </c>
      <c r="E49" s="35">
        <f t="shared" si="4"/>
        <v>30588.794972586329</v>
      </c>
      <c r="G49" s="35">
        <f t="shared" si="2"/>
        <v>-676144.39014173136</v>
      </c>
      <c r="H49" s="35">
        <f t="shared" si="3"/>
        <v>-68647.009305771324</v>
      </c>
      <c r="I49" s="24">
        <f>'Income statement'!B17-'Actuarial balances'!B58</f>
        <v>936322.10713078268</v>
      </c>
      <c r="J49" s="24">
        <f>'Income statement'!H17+'Income statement'!J17</f>
        <v>-160941.91271069326</v>
      </c>
      <c r="K49" s="24">
        <v>0</v>
      </c>
      <c r="L49" s="24">
        <v>0</v>
      </c>
      <c r="M49" s="35">
        <f>'Income statement'!L17</f>
        <v>30588.794972586795</v>
      </c>
      <c r="N49" s="35">
        <f t="shared" si="5"/>
        <v>30588.794972586737</v>
      </c>
      <c r="O49" s="35">
        <f t="shared" si="6"/>
        <v>5.8207660913467407E-11</v>
      </c>
    </row>
    <row r="50" spans="1:15" x14ac:dyDescent="0.25">
      <c r="A50" s="13">
        <v>5</v>
      </c>
      <c r="B50" s="24">
        <f>'Income statement'!K18+'Income statement'!G18</f>
        <v>-614589.96283864242</v>
      </c>
      <c r="C50" s="24">
        <f>'Income statement'!C18-'Actuarial balances'!C59</f>
        <v>-33973.812927515013</v>
      </c>
      <c r="D50" s="24">
        <f>'Income statement'!B18+'Income statement'!D18+'Income statement'!E18+'Income statement'!H18+'Income statement'!I18+'Income statement'!J18+('Income statement'!F18+'Actuarial balances'!C59)</f>
        <v>704338.12570841145</v>
      </c>
      <c r="E50" s="35">
        <f t="shared" si="4"/>
        <v>55774.349942254019</v>
      </c>
      <c r="G50" s="35">
        <f t="shared" si="2"/>
        <v>-614589.96283864242</v>
      </c>
      <c r="H50" s="35">
        <f t="shared" si="3"/>
        <v>-33973.812927515013</v>
      </c>
      <c r="I50" s="24">
        <f>'Income statement'!B18-'Actuarial balances'!B59</f>
        <v>851081.77693507448</v>
      </c>
      <c r="J50" s="24">
        <f>'Income statement'!H18+'Income statement'!J18</f>
        <v>-146743.65122666201</v>
      </c>
      <c r="K50" s="24">
        <v>0</v>
      </c>
      <c r="L50" s="24">
        <v>0</v>
      </c>
      <c r="M50" s="35">
        <f>'Income statement'!L18</f>
        <v>55774.349942253204</v>
      </c>
      <c r="N50" s="35">
        <f t="shared" si="5"/>
        <v>55774.349942255038</v>
      </c>
      <c r="O50" s="35">
        <f t="shared" si="6"/>
        <v>-1.8335413187742233E-9</v>
      </c>
    </row>
    <row r="51" spans="1:15" x14ac:dyDescent="0.25">
      <c r="A51" s="13">
        <v>6</v>
      </c>
      <c r="B51" s="24">
        <f>'Income statement'!K19+'Income statement'!G19</f>
        <v>-564699.02467131231</v>
      </c>
      <c r="C51" s="24">
        <f>'Income statement'!C19-'Actuarial balances'!C60</f>
        <v>-2346.665154990973</v>
      </c>
      <c r="D51" s="24">
        <f>'Income statement'!B19+'Income statement'!D19+'Income statement'!E19+'Income statement'!H19+'Income statement'!I19+'Income statement'!J19+('Income statement'!F19+'Actuarial balances'!C60)</f>
        <v>646736.65382617689</v>
      </c>
      <c r="E51" s="35">
        <f t="shared" si="4"/>
        <v>79690.963999873609</v>
      </c>
      <c r="G51" s="35">
        <f t="shared" si="2"/>
        <v>-564699.02467131231</v>
      </c>
      <c r="H51" s="35">
        <f t="shared" si="3"/>
        <v>-2346.665154990973</v>
      </c>
      <c r="I51" s="24">
        <f>'Income statement'!B19-'Actuarial balances'!B60</f>
        <v>781993.00087974966</v>
      </c>
      <c r="J51" s="24">
        <f>'Income statement'!H19+'Income statement'!J19</f>
        <v>-135256.34705357114</v>
      </c>
      <c r="K51" s="24">
        <v>0</v>
      </c>
      <c r="L51" s="24">
        <v>0</v>
      </c>
      <c r="M51" s="35">
        <f>'Income statement'!L19</f>
        <v>79690.963999873959</v>
      </c>
      <c r="N51" s="35">
        <f t="shared" si="5"/>
        <v>79690.963999875239</v>
      </c>
      <c r="O51" s="35">
        <f t="shared" si="6"/>
        <v>-1.280568540096283E-9</v>
      </c>
    </row>
    <row r="52" spans="1:15" x14ac:dyDescent="0.25">
      <c r="A52" s="13">
        <v>7</v>
      </c>
      <c r="B52" s="24">
        <f>'Income statement'!K20+'Income statement'!G20</f>
        <v>-524434.85481419833</v>
      </c>
      <c r="C52" s="24">
        <f>'Income statement'!C20-'Actuarial balances'!C61</f>
        <v>27138.129364406224</v>
      </c>
      <c r="D52" s="24">
        <f>'Income statement'!B20+'Income statement'!D20+'Income statement'!E20+'Income statement'!H20+'Income statement'!I20+'Income statement'!J20+('Income statement'!F20+'Actuarial balances'!C61)</f>
        <v>600220.45274735685</v>
      </c>
      <c r="E52" s="35">
        <f t="shared" si="4"/>
        <v>102923.72729756474</v>
      </c>
      <c r="G52" s="35">
        <f t="shared" si="2"/>
        <v>-524434.85481419833</v>
      </c>
      <c r="H52" s="35">
        <f t="shared" si="3"/>
        <v>27138.129364406224</v>
      </c>
      <c r="I52" s="24">
        <f>'Income statement'!B20-'Actuarial balances'!B61</f>
        <v>726235.33593102172</v>
      </c>
      <c r="J52" s="24">
        <f>'Income statement'!H20+'Income statement'!J20</f>
        <v>-126014.8831836654</v>
      </c>
      <c r="K52" s="24">
        <v>0</v>
      </c>
      <c r="L52" s="24">
        <v>0</v>
      </c>
      <c r="M52" s="35">
        <f>'Income statement'!L20</f>
        <v>102923.72729756485</v>
      </c>
      <c r="N52" s="35">
        <f t="shared" si="5"/>
        <v>102923.72729756421</v>
      </c>
      <c r="O52" s="35">
        <f t="shared" si="6"/>
        <v>6.4028427004814148E-10</v>
      </c>
    </row>
    <row r="53" spans="1:15" x14ac:dyDescent="0.25">
      <c r="A53" s="13">
        <v>8</v>
      </c>
      <c r="B53" s="24">
        <f>'Income statement'!K21+'Income statement'!G21</f>
        <v>-492189.87287897652</v>
      </c>
      <c r="C53" s="24">
        <f>'Income statement'!C21-'Actuarial balances'!C62</f>
        <v>55206.022527685622</v>
      </c>
      <c r="D53" s="24">
        <f>'Income statement'!B21+'Income statement'!D21+'Income statement'!E21+'Income statement'!H21+'Income statement'!I21+'Income statement'!J21+('Income statement'!F21+'Actuarial balances'!C62)</f>
        <v>562930.39032331575</v>
      </c>
      <c r="E53" s="35">
        <f t="shared" si="4"/>
        <v>125946.53997202485</v>
      </c>
      <c r="G53" s="35">
        <f t="shared" si="2"/>
        <v>-492189.87287897652</v>
      </c>
      <c r="H53" s="35">
        <f t="shared" si="3"/>
        <v>55206.022527685622</v>
      </c>
      <c r="I53" s="24">
        <f>'Income statement'!B21-'Actuarial balances'!B62</f>
        <v>681582.6110542356</v>
      </c>
      <c r="J53" s="24">
        <f>'Income statement'!H21+'Income statement'!J21</f>
        <v>-118652.22073091922</v>
      </c>
      <c r="K53" s="24">
        <v>0</v>
      </c>
      <c r="L53" s="24">
        <v>0</v>
      </c>
      <c r="M53" s="35">
        <f>'Income statement'!L21</f>
        <v>125946.53997202532</v>
      </c>
      <c r="N53" s="35">
        <f t="shared" si="5"/>
        <v>125946.53997202549</v>
      </c>
      <c r="O53" s="35">
        <f t="shared" si="6"/>
        <v>-1.7462298274040222E-10</v>
      </c>
    </row>
    <row r="54" spans="1:15" x14ac:dyDescent="0.25">
      <c r="A54" s="13">
        <v>9</v>
      </c>
      <c r="B54" s="24">
        <f>'Income statement'!K22+'Income statement'!G22</f>
        <v>-466748.0861599893</v>
      </c>
      <c r="C54" s="24">
        <f>'Income statement'!C22-'Actuarial balances'!C63</f>
        <v>82472.690335881198</v>
      </c>
      <c r="D54" s="24">
        <f>'Income statement'!B22+'Income statement'!D22+'Income statement'!E22+'Income statement'!H22+'Income statement'!I22+'Income statement'!J22+('Income statement'!F22+'Actuarial balances'!C63)</f>
        <v>533459.17942212336</v>
      </c>
      <c r="E54" s="35">
        <f t="shared" si="4"/>
        <v>149183.78359801526</v>
      </c>
      <c r="G54" s="35">
        <f t="shared" si="2"/>
        <v>-466748.0861599893</v>
      </c>
      <c r="H54" s="35">
        <f t="shared" si="3"/>
        <v>82472.690335881198</v>
      </c>
      <c r="I54" s="24">
        <f>'Income statement'!B22-'Actuarial balances'!B63</f>
        <v>646350.92430623155</v>
      </c>
      <c r="J54" s="24">
        <f>'Income statement'!H22+'Income statement'!J22</f>
        <v>-112891.7448841103</v>
      </c>
      <c r="K54" s="24">
        <v>0</v>
      </c>
      <c r="L54" s="24">
        <v>0</v>
      </c>
      <c r="M54" s="35">
        <f>'Income statement'!L22</f>
        <v>149183.78359801491</v>
      </c>
      <c r="N54" s="35">
        <f t="shared" si="5"/>
        <v>149183.78359801316</v>
      </c>
      <c r="O54" s="35">
        <f t="shared" si="6"/>
        <v>1.7462298274040222E-9</v>
      </c>
    </row>
    <row r="55" spans="1:15" x14ac:dyDescent="0.25">
      <c r="A55" s="13">
        <v>10</v>
      </c>
      <c r="B55" s="24">
        <f>'Income statement'!K23+'Income statement'!G23</f>
        <v>-447177.52560653549</v>
      </c>
      <c r="C55" s="24">
        <f>'Income statement'!C23-'Actuarial balances'!C64</f>
        <v>109474.15134403505</v>
      </c>
      <c r="D55" s="24">
        <f>'Income statement'!B23+'Income statement'!D23+'Income statement'!E23+'Income statement'!H23+'Income statement'!I23+'Income statement'!J23+('Income statement'!F23+'Actuarial balances'!C64)</f>
        <v>510727.16075530648</v>
      </c>
      <c r="E55" s="35">
        <f t="shared" si="4"/>
        <v>173023.78649280604</v>
      </c>
      <c r="G55" s="35">
        <f t="shared" si="2"/>
        <v>-447177.52560653549</v>
      </c>
      <c r="H55" s="35">
        <f t="shared" si="3"/>
        <v>109474.15134403505</v>
      </c>
      <c r="I55" s="24">
        <f>'Income statement'!B23-'Actuarial balances'!B64</f>
        <v>619249.6885904409</v>
      </c>
      <c r="J55" s="24">
        <f>'Income statement'!H23+'Income statement'!J23</f>
        <v>-108522.52783510672</v>
      </c>
      <c r="K55" s="24">
        <v>0</v>
      </c>
      <c r="L55" s="24">
        <v>0</v>
      </c>
      <c r="M55" s="35">
        <f>'Income statement'!L23</f>
        <v>173023.7864928128</v>
      </c>
      <c r="N55" s="35">
        <f t="shared" si="5"/>
        <v>173023.78649283375</v>
      </c>
      <c r="O55" s="35">
        <f t="shared" si="6"/>
        <v>-2.0954757928848267E-8</v>
      </c>
    </row>
    <row r="57" spans="1:15" x14ac:dyDescent="0.25">
      <c r="B57" s="13" t="s">
        <v>152</v>
      </c>
    </row>
    <row r="58" spans="1:15" x14ac:dyDescent="0.25">
      <c r="B58" s="3" t="s">
        <v>122</v>
      </c>
    </row>
    <row r="59" spans="1:15" x14ac:dyDescent="0.25">
      <c r="D59" s="13" t="s">
        <v>120</v>
      </c>
    </row>
    <row r="60" spans="1:15" x14ac:dyDescent="0.25">
      <c r="B60" s="13" t="s">
        <v>113</v>
      </c>
      <c r="C60" s="13" t="s">
        <v>115</v>
      </c>
      <c r="D60" s="13" t="s">
        <v>118</v>
      </c>
      <c r="E60" s="13" t="s">
        <v>119</v>
      </c>
      <c r="G60" s="13" t="s">
        <v>113</v>
      </c>
      <c r="H60" s="13" t="s">
        <v>115</v>
      </c>
      <c r="I60" s="13" t="s">
        <v>4</v>
      </c>
      <c r="J60" s="13" t="s">
        <v>128</v>
      </c>
      <c r="K60" s="13" t="s">
        <v>126</v>
      </c>
      <c r="L60" s="13" t="s">
        <v>62</v>
      </c>
      <c r="M60" s="13" t="s">
        <v>46</v>
      </c>
    </row>
    <row r="61" spans="1:15" x14ac:dyDescent="0.25">
      <c r="B61" s="13" t="s">
        <v>114</v>
      </c>
      <c r="C61" s="13" t="s">
        <v>116</v>
      </c>
      <c r="D61" s="13" t="s">
        <v>117</v>
      </c>
      <c r="E61" s="13" t="s">
        <v>8</v>
      </c>
      <c r="G61" s="13" t="s">
        <v>114</v>
      </c>
      <c r="H61" s="13" t="s">
        <v>116</v>
      </c>
      <c r="I61" s="13" t="s">
        <v>124</v>
      </c>
      <c r="J61" s="13" t="s">
        <v>37</v>
      </c>
      <c r="K61" s="13" t="s">
        <v>127</v>
      </c>
      <c r="L61" s="13" t="s">
        <v>125</v>
      </c>
      <c r="M61" s="13" t="s">
        <v>8</v>
      </c>
    </row>
    <row r="62" spans="1:15" x14ac:dyDescent="0.25">
      <c r="A62" s="13">
        <v>1</v>
      </c>
      <c r="B62" s="24">
        <f>'Income statement'!K31+'Income statement'!G31</f>
        <v>-1106778.0389440362</v>
      </c>
      <c r="C62" s="24">
        <f>'Income statement'!C31-'Actuarial balances'!C150</f>
        <v>-208139.92189352302</v>
      </c>
      <c r="D62" s="24">
        <f>'Income statement'!B31+'Income statement'!D31+'Income statement'!E31+'Income statement'!H31+'Income statement'!I31+'Income statement'!J31+('Income statement'!F31+'Actuarial balances'!C150)</f>
        <v>1156745.7544450499</v>
      </c>
      <c r="E62" s="35">
        <f>SUM(B62:D62)</f>
        <v>-158172.2063925094</v>
      </c>
      <c r="G62" s="35">
        <f t="shared" ref="G62:G71" si="7">B62</f>
        <v>-1106778.0389440362</v>
      </c>
      <c r="H62" s="35">
        <f>H46</f>
        <v>-208076.45836340281</v>
      </c>
      <c r="I62" s="24">
        <f>'Income statement'!B31-'Actuarial balances'!B55</f>
        <v>1394182.2909149295</v>
      </c>
      <c r="J62" s="24">
        <f>'Income statement'!H31+'Income statement'!J31</f>
        <v>-237500</v>
      </c>
      <c r="K62" s="24">
        <v>0</v>
      </c>
      <c r="L62" s="24">
        <v>0</v>
      </c>
      <c r="M62" s="35">
        <f>'Income statement'!L31</f>
        <v>-158172.20639250951</v>
      </c>
      <c r="N62" s="35">
        <f>G62+H62+I62+J62+K62+L62</f>
        <v>-158172.20639250963</v>
      </c>
      <c r="O62" s="35">
        <f>M62-N62</f>
        <v>0</v>
      </c>
    </row>
    <row r="63" spans="1:15" x14ac:dyDescent="0.25">
      <c r="A63" s="13">
        <v>2</v>
      </c>
      <c r="B63" s="24">
        <f>'Income statement'!K32+'Income statement'!G32</f>
        <v>-855222.20346257626</v>
      </c>
      <c r="C63" s="24">
        <f>'Income statement'!C32-'Actuarial balances'!C151</f>
        <v>-151830.06249777786</v>
      </c>
      <c r="D63" s="24">
        <f>'Income statement'!B32+'Income statement'!D32+'Income statement'!E32+'Income statement'!H32+'Income statement'!I32+'Income statement'!J32+('Income statement'!F32+'Actuarial balances'!C151)</f>
        <v>982085.8308481127</v>
      </c>
      <c r="E63" s="35">
        <f t="shared" ref="E63:E71" si="8">SUM(B63:D63)</f>
        <v>-24966.435112241423</v>
      </c>
      <c r="G63" s="35">
        <f t="shared" si="7"/>
        <v>-855222.20346257626</v>
      </c>
      <c r="H63" s="35">
        <f t="shared" ref="H63:H65" si="9">H47</f>
        <v>-151710.15041057102</v>
      </c>
      <c r="I63" s="24">
        <f>'Income statement'!B32-'Actuarial balances'!B56</f>
        <v>1184308.3626609053</v>
      </c>
      <c r="J63" s="24">
        <f>'Income statement'!H32+'Income statement'!J32</f>
        <v>-202342.44390000001</v>
      </c>
      <c r="K63" s="24">
        <v>0</v>
      </c>
      <c r="L63" s="24">
        <v>0</v>
      </c>
      <c r="M63" s="35">
        <f>'Income statement'!L32</f>
        <v>-24966.43511224119</v>
      </c>
      <c r="N63" s="35">
        <f t="shared" ref="N63:N71" si="10">G63+H63+I63+J63+K63+L63</f>
        <v>-24966.435112241947</v>
      </c>
      <c r="O63" s="35">
        <f t="shared" ref="O63:O71" si="11">M63-N63</f>
        <v>7.5669959187507629E-10</v>
      </c>
    </row>
    <row r="64" spans="1:15" x14ac:dyDescent="0.25">
      <c r="A64" s="13">
        <v>3</v>
      </c>
      <c r="B64" s="24">
        <f>'Income statement'!K33+'Income statement'!G33</f>
        <v>-752016.04048200091</v>
      </c>
      <c r="C64" s="24">
        <f>'Income statement'!C33-'Actuarial balances'!C152</f>
        <v>-107672.17588478525</v>
      </c>
      <c r="D64" s="24">
        <f>'Income statement'!B33+'Income statement'!D33+'Income statement'!E33+'Income statement'!H33+'Income statement'!I33+'Income statement'!J33+('Income statement'!F33+'Actuarial balances'!C152)</f>
        <v>863103.41670001112</v>
      </c>
      <c r="E64" s="35">
        <f t="shared" si="8"/>
        <v>3415.2003332249587</v>
      </c>
      <c r="G64" s="35">
        <f t="shared" si="7"/>
        <v>-752016.04048200091</v>
      </c>
      <c r="H64" s="35">
        <f t="shared" si="9"/>
        <v>-107500.06302954094</v>
      </c>
      <c r="I64" s="24">
        <f>'Income statement'!B33-'Actuarial balances'!B57</f>
        <v>1041388.8717950573</v>
      </c>
      <c r="J64" s="24">
        <f>'Income statement'!H33+'Income statement'!J33</f>
        <v>-178457.56795029168</v>
      </c>
      <c r="K64" s="24">
        <v>0</v>
      </c>
      <c r="L64" s="24">
        <v>0</v>
      </c>
      <c r="M64" s="35">
        <f>'Income statement'!L33</f>
        <v>3415.2003332249587</v>
      </c>
      <c r="N64" s="35">
        <f t="shared" si="10"/>
        <v>3415.2003332237946</v>
      </c>
      <c r="O64" s="35">
        <f t="shared" si="11"/>
        <v>1.1641532182693481E-9</v>
      </c>
    </row>
    <row r="65" spans="1:15" x14ac:dyDescent="0.25">
      <c r="A65" s="13">
        <v>4</v>
      </c>
      <c r="B65" s="24">
        <f>'Income statement'!K34+'Income statement'!G34</f>
        <v>-676144.39014173136</v>
      </c>
      <c r="C65" s="24">
        <f>'Income statement'!C34-'Actuarial balances'!C153</f>
        <v>-68868.628294102498</v>
      </c>
      <c r="D65" s="24">
        <f>'Income statement'!B34+'Income statement'!D34+'Income statement'!E34+'Income statement'!H34+'Income statement'!I34+'Income statement'!J34+('Income statement'!F34+'Actuarial balances'!C153)</f>
        <v>775601.81340841996</v>
      </c>
      <c r="E65" s="35">
        <f t="shared" si="8"/>
        <v>30588.794972586096</v>
      </c>
      <c r="G65" s="35">
        <f t="shared" si="7"/>
        <v>-676144.39014173136</v>
      </c>
      <c r="H65" s="35">
        <f t="shared" si="9"/>
        <v>-68647.009305771324</v>
      </c>
      <c r="I65" s="24">
        <f>'Income statement'!B34-'Actuarial balances'!B58</f>
        <v>936322.10713078268</v>
      </c>
      <c r="J65" s="24">
        <f>'Income statement'!H34+'Income statement'!J34</f>
        <v>-160941.91271069326</v>
      </c>
      <c r="K65" s="24">
        <v>0</v>
      </c>
      <c r="L65" s="24">
        <v>0</v>
      </c>
      <c r="M65" s="35">
        <f>'Income statement'!L34</f>
        <v>30588.794972586795</v>
      </c>
      <c r="N65" s="35">
        <f t="shared" si="10"/>
        <v>30588.794972586737</v>
      </c>
      <c r="O65" s="35">
        <f t="shared" si="11"/>
        <v>5.8207660913467407E-11</v>
      </c>
    </row>
    <row r="66" spans="1:15" x14ac:dyDescent="0.25">
      <c r="A66" s="13">
        <v>5</v>
      </c>
      <c r="B66" s="24">
        <f>'Income statement'!K35+'Income statement'!G35</f>
        <v>-615389.46599920979</v>
      </c>
      <c r="C66" s="24">
        <f>'Income statement'!C35-'Actuarial balances'!C154</f>
        <v>-34243.038132889662</v>
      </c>
      <c r="D66" s="24">
        <f>'Income statement'!B35+'Income statement'!D35+'Income statement'!E35+'Income statement'!H35+'Income statement'!I35+'Income statement'!J35+('Income statement'!F35+'Actuarial balances'!C154)</f>
        <v>697607.49557404639</v>
      </c>
      <c r="E66" s="35">
        <f t="shared" si="8"/>
        <v>47974.991441946942</v>
      </c>
      <c r="F66" s="35"/>
      <c r="G66" s="35">
        <f t="shared" si="7"/>
        <v>-615389.46599920979</v>
      </c>
      <c r="H66" s="35">
        <f>C66</f>
        <v>-34243.038132889662</v>
      </c>
      <c r="I66" s="24">
        <f>'Income statement'!B35-'Actuarial balances'!B154</f>
        <v>850113.24049731344</v>
      </c>
      <c r="J66" s="24">
        <f>'Income statement'!H35+'Income statement'!J35</f>
        <v>-146743.65122666201</v>
      </c>
      <c r="K66" s="24">
        <f>'Income statement'!D35+'Income statement'!I35+'Income statement'!E35-'Income statement'!D18-'Income statement'!I18-'Income statement'!E18</f>
        <v>-19057.832238749135</v>
      </c>
      <c r="L66" s="24">
        <f>'Income statement'!F35-'Income statement'!F18-(I66-I50)-(H66-H50)</f>
        <v>13295.738542144885</v>
      </c>
      <c r="M66" s="35">
        <f>'Income statement'!L35</f>
        <v>47974.991441946593</v>
      </c>
      <c r="N66" s="35">
        <f t="shared" si="10"/>
        <v>47974.991441947728</v>
      </c>
      <c r="O66" s="35">
        <f t="shared" si="11"/>
        <v>-1.1350493878126144E-9</v>
      </c>
    </row>
    <row r="67" spans="1:15" x14ac:dyDescent="0.25">
      <c r="A67" s="13">
        <v>6</v>
      </c>
      <c r="B67" s="24">
        <f>'Income statement'!K36+'Income statement'!G36</f>
        <v>-564518.08938625269</v>
      </c>
      <c r="C67" s="24">
        <f>'Income statement'!C36-'Actuarial balances'!C155</f>
        <v>-2390.6404575151391</v>
      </c>
      <c r="D67" s="24">
        <f>'Income statement'!B36+'Income statement'!D36+'Income statement'!E36+'Income statement'!H36+'Income statement'!I36+'Income statement'!J36+('Income statement'!F36+'Actuarial balances'!C155)</f>
        <v>645639.80501700682</v>
      </c>
      <c r="E67" s="35">
        <f t="shared" si="8"/>
        <v>78731.075173238991</v>
      </c>
      <c r="G67" s="35">
        <f t="shared" si="7"/>
        <v>-564518.08938625269</v>
      </c>
      <c r="H67" s="35">
        <f t="shared" ref="H67:H71" si="12">C67</f>
        <v>-2390.6404575151391</v>
      </c>
      <c r="I67" s="24">
        <f>'Income statement'!B36-'Actuarial balances'!B155</f>
        <v>780852.81456751656</v>
      </c>
      <c r="J67" s="24">
        <f>'Income statement'!H36+'Income statement'!J36</f>
        <v>-135213.00955051006</v>
      </c>
      <c r="K67" s="24">
        <v>0</v>
      </c>
      <c r="L67" s="24">
        <v>0</v>
      </c>
      <c r="M67" s="35">
        <f>'Income statement'!L36</f>
        <v>78731.075173238874</v>
      </c>
      <c r="N67" s="35">
        <f t="shared" si="10"/>
        <v>78731.075173238671</v>
      </c>
      <c r="O67" s="35">
        <f t="shared" si="11"/>
        <v>2.0372681319713593E-10</v>
      </c>
    </row>
    <row r="68" spans="1:15" x14ac:dyDescent="0.25">
      <c r="A68" s="13">
        <v>7</v>
      </c>
      <c r="B68" s="24">
        <f>'Income statement'!K37+'Income statement'!G37</f>
        <v>-524266.82057683408</v>
      </c>
      <c r="C68" s="24">
        <f>'Income statement'!C37-'Actuarial balances'!C156</f>
        <v>27089.191473951098</v>
      </c>
      <c r="D68" s="24">
        <f>'Income statement'!B37+'Income statement'!D37+'Income statement'!E37+'Income statement'!H37+'Income statement'!I37+'Income statement'!J37+('Income statement'!F37+'Actuarial balances'!C156)</f>
        <v>599201.94044402451</v>
      </c>
      <c r="E68" s="35">
        <f t="shared" si="8"/>
        <v>102024.31134114153</v>
      </c>
      <c r="G68" s="35">
        <f t="shared" si="7"/>
        <v>-524266.82057683408</v>
      </c>
      <c r="H68" s="35">
        <f t="shared" si="12"/>
        <v>27089.191473951098</v>
      </c>
      <c r="I68" s="24">
        <f>'Income statement'!B37-'Actuarial balances'!B156</f>
        <v>725176.44718322344</v>
      </c>
      <c r="J68" s="24">
        <f>'Income statement'!H37+'Income statement'!J37</f>
        <v>-125974.50673919771</v>
      </c>
      <c r="K68" s="24">
        <v>0</v>
      </c>
      <c r="L68" s="24">
        <v>0</v>
      </c>
      <c r="M68" s="35">
        <f>'Income statement'!L37</f>
        <v>102024.31134114187</v>
      </c>
      <c r="N68" s="35">
        <f t="shared" si="10"/>
        <v>102024.31134114275</v>
      </c>
      <c r="O68" s="35">
        <f t="shared" si="11"/>
        <v>-8.7311491370201111E-10</v>
      </c>
    </row>
    <row r="69" spans="1:15" x14ac:dyDescent="0.25">
      <c r="A69" s="13">
        <v>8</v>
      </c>
      <c r="B69" s="24">
        <f>'Income statement'!K38+'Income statement'!G38</f>
        <v>-492032.17026030336</v>
      </c>
      <c r="C69" s="24">
        <f>'Income statement'!C38-'Actuarial balances'!C157</f>
        <v>55151.983671256108</v>
      </c>
      <c r="D69" s="24">
        <f>'Income statement'!B38+'Income statement'!D38+'Income statement'!E38+'Income statement'!H38+'Income statement'!I38+'Income statement'!J38+('Income statement'!F38+'Actuarial balances'!C157)</f>
        <v>561974.62493482628</v>
      </c>
      <c r="E69" s="35">
        <f t="shared" si="8"/>
        <v>125094.43834577902</v>
      </c>
      <c r="G69" s="35">
        <f t="shared" si="7"/>
        <v>-492032.17026030336</v>
      </c>
      <c r="H69" s="35">
        <f t="shared" si="12"/>
        <v>55151.983671256108</v>
      </c>
      <c r="I69" s="24">
        <f>'Income statement'!B38-'Actuarial balances'!B157</f>
        <v>680588.82829287369</v>
      </c>
      <c r="J69" s="24">
        <f>'Income statement'!H38+'Income statement'!J38</f>
        <v>-118614.20335804806</v>
      </c>
      <c r="K69" s="24">
        <v>0</v>
      </c>
      <c r="L69" s="24">
        <v>0</v>
      </c>
      <c r="M69" s="35">
        <f>'Income statement'!L38</f>
        <v>125094.43834577879</v>
      </c>
      <c r="N69" s="35">
        <f t="shared" si="10"/>
        <v>125094.43834577837</v>
      </c>
      <c r="O69" s="35">
        <f t="shared" si="11"/>
        <v>4.220055416226387E-10</v>
      </c>
    </row>
    <row r="70" spans="1:15" x14ac:dyDescent="0.25">
      <c r="A70" s="13">
        <v>9</v>
      </c>
      <c r="B70" s="24">
        <f>'Income statement'!K39+'Income statement'!G39</f>
        <v>-466598.53534737806</v>
      </c>
      <c r="C70" s="24">
        <f>'Income statement'!C39-'Actuarial balances'!C158</f>
        <v>82413.320859445026</v>
      </c>
      <c r="D70" s="24">
        <f>'Income statement'!B39+'Income statement'!D39+'Income statement'!E39+'Income statement'!H39+'Income statement'!I39+'Income statement'!J39+('Income statement'!F39+'Actuarial balances'!C158)</f>
        <v>532552.93794355821</v>
      </c>
      <c r="E70" s="35">
        <f t="shared" si="8"/>
        <v>148367.72345562518</v>
      </c>
      <c r="G70" s="35">
        <f t="shared" si="7"/>
        <v>-466598.53534737806</v>
      </c>
      <c r="H70" s="35">
        <f t="shared" si="12"/>
        <v>82413.320859445026</v>
      </c>
      <c r="I70" s="24">
        <f>'Income statement'!B39-'Actuarial balances'!B158</f>
        <v>645408.5111695868</v>
      </c>
      <c r="J70" s="24">
        <f>'Income statement'!H39+'Income statement'!J39</f>
        <v>-112855.57322602505</v>
      </c>
      <c r="K70" s="24">
        <v>0</v>
      </c>
      <c r="L70" s="24">
        <v>0</v>
      </c>
      <c r="M70" s="35">
        <f>'Income statement'!L39</f>
        <v>148367.7234556246</v>
      </c>
      <c r="N70" s="35">
        <f t="shared" si="10"/>
        <v>148367.72345562873</v>
      </c>
      <c r="O70" s="35">
        <f t="shared" si="11"/>
        <v>-4.1327439248561859E-9</v>
      </c>
    </row>
    <row r="71" spans="1:15" x14ac:dyDescent="0.25">
      <c r="A71" s="13">
        <v>10</v>
      </c>
      <c r="B71" s="24">
        <f>'Income statement'!K40+'Income statement'!G40</f>
        <v>-447034.24539967661</v>
      </c>
      <c r="C71" s="24">
        <f>'Income statement'!C40-'Actuarial balances'!C159</f>
        <v>109409.13413644442</v>
      </c>
      <c r="D71" s="24">
        <f>'Income statement'!B40+'Income statement'!D40+'Income statement'!E40+'Income statement'!H40+'Income statement'!I40+'Income statement'!J40+('Income statement'!F40+'Actuarial balances'!C159)</f>
        <v>509859.03434123844</v>
      </c>
      <c r="E71" s="35">
        <f t="shared" si="8"/>
        <v>172233.92307800625</v>
      </c>
      <c r="G71" s="35">
        <f t="shared" si="7"/>
        <v>-447034.24539967661</v>
      </c>
      <c r="H71" s="35">
        <f t="shared" si="12"/>
        <v>109409.13413644442</v>
      </c>
      <c r="I71" s="24">
        <f>'Income statement'!B40-'Actuarial balances'!B159</f>
        <v>618346.7904596501</v>
      </c>
      <c r="J71" s="24">
        <f>'Income statement'!H40+'Income statement'!J40</f>
        <v>-108487.75611840212</v>
      </c>
      <c r="K71" s="24">
        <v>0</v>
      </c>
      <c r="L71" s="24">
        <v>0</v>
      </c>
      <c r="M71" s="35">
        <f>'Income statement'!L40</f>
        <v>172233.92307801056</v>
      </c>
      <c r="N71" s="35">
        <f t="shared" si="10"/>
        <v>172233.9230780158</v>
      </c>
      <c r="O71" s="35">
        <f t="shared" si="11"/>
        <v>-5.2386894822120667E-9</v>
      </c>
    </row>
    <row r="73" spans="1:15" x14ac:dyDescent="0.25">
      <c r="B73" s="13" t="s">
        <v>153</v>
      </c>
    </row>
    <row r="74" spans="1:15" x14ac:dyDescent="0.25">
      <c r="B74" s="3" t="s">
        <v>123</v>
      </c>
    </row>
    <row r="75" spans="1:15" x14ac:dyDescent="0.25">
      <c r="D75" s="13" t="s">
        <v>120</v>
      </c>
    </row>
    <row r="76" spans="1:15" x14ac:dyDescent="0.25">
      <c r="B76" s="13" t="s">
        <v>113</v>
      </c>
      <c r="C76" s="13" t="s">
        <v>115</v>
      </c>
      <c r="D76" s="13" t="s">
        <v>118</v>
      </c>
      <c r="E76" s="13" t="s">
        <v>119</v>
      </c>
      <c r="G76" s="13" t="s">
        <v>113</v>
      </c>
      <c r="H76" s="13" t="s">
        <v>115</v>
      </c>
      <c r="I76" s="13" t="s">
        <v>4</v>
      </c>
      <c r="J76" s="13" t="s">
        <v>128</v>
      </c>
      <c r="K76" s="13" t="s">
        <v>126</v>
      </c>
      <c r="L76" s="13" t="s">
        <v>62</v>
      </c>
      <c r="M76" s="13" t="s">
        <v>46</v>
      </c>
    </row>
    <row r="77" spans="1:15" x14ac:dyDescent="0.25">
      <c r="B77" s="13" t="s">
        <v>114</v>
      </c>
      <c r="C77" s="13" t="s">
        <v>116</v>
      </c>
      <c r="D77" s="13" t="s">
        <v>117</v>
      </c>
      <c r="E77" s="13" t="s">
        <v>8</v>
      </c>
      <c r="G77" s="13" t="s">
        <v>114</v>
      </c>
      <c r="H77" s="13" t="s">
        <v>116</v>
      </c>
      <c r="I77" s="13" t="s">
        <v>124</v>
      </c>
      <c r="J77" s="13" t="s">
        <v>37</v>
      </c>
      <c r="K77" s="13" t="s">
        <v>127</v>
      </c>
      <c r="L77" s="13" t="s">
        <v>125</v>
      </c>
      <c r="M77" s="13" t="s">
        <v>8</v>
      </c>
    </row>
    <row r="78" spans="1:15" x14ac:dyDescent="0.25">
      <c r="A78" s="13">
        <v>1</v>
      </c>
      <c r="B78" s="24">
        <f>'Income statement'!K48+'Income statement'!G48</f>
        <v>-1106778.0389440362</v>
      </c>
      <c r="C78" s="24">
        <f>'Income statement'!C48-'Actuarial balances'!C244</f>
        <v>-208166.32503572264</v>
      </c>
      <c r="D78" s="24">
        <f>'Income statement'!B48+'Income statement'!D48+'Income statement'!E48+'Income statement'!H48+'Income statement'!I48+'Income statement'!J48+('Income statement'!F48+'Actuarial balances'!C244)</f>
        <v>1156772.1575872498</v>
      </c>
      <c r="E78" s="35">
        <f>SUM(B78:D78)</f>
        <v>-158172.20639250916</v>
      </c>
      <c r="G78" s="35">
        <f t="shared" ref="G78:G87" si="13">B78</f>
        <v>-1106778.0389440362</v>
      </c>
      <c r="H78" s="35">
        <f>H62</f>
        <v>-208076.45836340281</v>
      </c>
      <c r="I78" s="24">
        <f>'Income statement'!B48-'Actuarial balances'!B55</f>
        <v>1394182.2909149295</v>
      </c>
      <c r="J78" s="24">
        <f>'Income statement'!H48+'Income statement'!J48</f>
        <v>-237500</v>
      </c>
      <c r="K78" s="24">
        <v>0</v>
      </c>
      <c r="L78" s="24">
        <v>0</v>
      </c>
      <c r="M78" s="35">
        <f>'Income statement'!L48</f>
        <v>-158172.20639250951</v>
      </c>
      <c r="N78" s="35">
        <f>G78+H78+I78+J78+K78+L78</f>
        <v>-158172.20639250963</v>
      </c>
      <c r="O78" s="35">
        <f>M78-N78</f>
        <v>0</v>
      </c>
    </row>
    <row r="79" spans="1:15" x14ac:dyDescent="0.25">
      <c r="A79" s="13">
        <v>2</v>
      </c>
      <c r="B79" s="24">
        <f>'Income statement'!K49+'Income statement'!G49</f>
        <v>-855222.20346257626</v>
      </c>
      <c r="C79" s="24">
        <f>'Income statement'!C49-'Actuarial balances'!C245</f>
        <v>-151879.95029765239</v>
      </c>
      <c r="D79" s="24">
        <f>'Income statement'!B49+'Income statement'!D49+'Income statement'!E49+'Income statement'!H49+'Income statement'!I49+'Income statement'!J49+('Income statement'!F49+'Actuarial balances'!C245)</f>
        <v>982135.71864798758</v>
      </c>
      <c r="E79" s="35">
        <f t="shared" ref="E79:E87" si="14">SUM(B79:D79)</f>
        <v>-24966.435112241074</v>
      </c>
      <c r="G79" s="35">
        <f t="shared" si="13"/>
        <v>-855222.20346257626</v>
      </c>
      <c r="H79" s="35">
        <f t="shared" ref="H79:H81" si="15">H63</f>
        <v>-151710.15041057102</v>
      </c>
      <c r="I79" s="24">
        <f>'Income statement'!B49-'Actuarial balances'!B56</f>
        <v>1184308.3626609053</v>
      </c>
      <c r="J79" s="24">
        <f>'Income statement'!H49+'Income statement'!J49</f>
        <v>-202342.44390000001</v>
      </c>
      <c r="K79" s="24">
        <v>0</v>
      </c>
      <c r="L79" s="24">
        <v>0</v>
      </c>
      <c r="M79" s="35">
        <f>'Income statement'!L49</f>
        <v>-24966.43511224119</v>
      </c>
      <c r="N79" s="35">
        <f t="shared" ref="N79:N87" si="16">G79+H79+I79+J79+K79+L79</f>
        <v>-24966.435112241947</v>
      </c>
      <c r="O79" s="35">
        <f t="shared" ref="O79:O87" si="17">M79-N79</f>
        <v>7.5669959187507629E-10</v>
      </c>
    </row>
    <row r="80" spans="1:15" x14ac:dyDescent="0.25">
      <c r="A80" s="13">
        <v>3</v>
      </c>
      <c r="B80" s="24">
        <f>'Income statement'!K50+'Income statement'!G50</f>
        <v>-752016.04048200091</v>
      </c>
      <c r="C80" s="24">
        <f>'Income statement'!C50-'Actuarial balances'!C246</f>
        <v>-107743.78110723023</v>
      </c>
      <c r="D80" s="24">
        <f>'Income statement'!B50+'Income statement'!D50+'Income statement'!E50+'Income statement'!H50+'Income statement'!I50+'Income statement'!J50+('Income statement'!F50+'Actuarial balances'!C246)</f>
        <v>863175.0219224561</v>
      </c>
      <c r="E80" s="35">
        <f t="shared" si="14"/>
        <v>3415.2003332249587</v>
      </c>
      <c r="G80" s="35">
        <f t="shared" si="13"/>
        <v>-752016.04048200091</v>
      </c>
      <c r="H80" s="35">
        <f t="shared" si="15"/>
        <v>-107500.06302954094</v>
      </c>
      <c r="I80" s="24">
        <f>'Income statement'!B50-'Actuarial balances'!B57</f>
        <v>1041388.8717950573</v>
      </c>
      <c r="J80" s="24">
        <f>'Income statement'!H50+'Income statement'!J50</f>
        <v>-178457.56795029168</v>
      </c>
      <c r="K80" s="24">
        <v>0</v>
      </c>
      <c r="L80" s="24">
        <v>0</v>
      </c>
      <c r="M80" s="35">
        <f>'Income statement'!L50</f>
        <v>3415.2003332249587</v>
      </c>
      <c r="N80" s="35">
        <f t="shared" si="16"/>
        <v>3415.2003332237946</v>
      </c>
      <c r="O80" s="35">
        <f t="shared" si="17"/>
        <v>1.1641532182693481E-9</v>
      </c>
    </row>
    <row r="81" spans="1:15" x14ac:dyDescent="0.25">
      <c r="A81" s="13">
        <v>4</v>
      </c>
      <c r="B81" s="24">
        <f>'Income statement'!K51+'Income statement'!G51</f>
        <v>-676144.39014173136</v>
      </c>
      <c r="C81" s="24">
        <f>'Income statement'!C51-'Actuarial balances'!C247</f>
        <v>-68960.829872740433</v>
      </c>
      <c r="D81" s="24">
        <f>'Income statement'!B51+'Income statement'!D51+'Income statement'!E51+'Income statement'!H51+'Income statement'!I51+'Income statement'!J51+('Income statement'!F51+'Actuarial balances'!C247)</f>
        <v>775694.01498705801</v>
      </c>
      <c r="E81" s="35">
        <f t="shared" si="14"/>
        <v>30588.794972586213</v>
      </c>
      <c r="G81" s="35">
        <f t="shared" si="13"/>
        <v>-676144.39014173136</v>
      </c>
      <c r="H81" s="35">
        <f t="shared" si="15"/>
        <v>-68647.009305771324</v>
      </c>
      <c r="I81" s="24">
        <f>'Income statement'!B51-'Actuarial balances'!B58</f>
        <v>936322.10713078268</v>
      </c>
      <c r="J81" s="24">
        <f>'Income statement'!H51+'Income statement'!J51</f>
        <v>-160941.91271069326</v>
      </c>
      <c r="K81" s="24">
        <v>0</v>
      </c>
      <c r="L81" s="24">
        <v>0</v>
      </c>
      <c r="M81" s="35">
        <f>'Income statement'!L51</f>
        <v>30588.794972586795</v>
      </c>
      <c r="N81" s="35">
        <f t="shared" si="16"/>
        <v>30588.794972586737</v>
      </c>
      <c r="O81" s="35">
        <f t="shared" si="17"/>
        <v>5.8207660913467407E-11</v>
      </c>
    </row>
    <row r="82" spans="1:15" x14ac:dyDescent="0.25">
      <c r="A82" s="13">
        <v>5</v>
      </c>
      <c r="B82" s="24">
        <f>'Income statement'!K52+'Income statement'!G52</f>
        <v>-615389.46599920979</v>
      </c>
      <c r="C82" s="24">
        <f>'Income statement'!C52-'Actuarial balances'!C248</f>
        <v>-34355.04563338263</v>
      </c>
      <c r="D82" s="24">
        <f>'Income statement'!B52+'Income statement'!D52+'Income statement'!E52+'Income statement'!H52+'Income statement'!I52+'Income statement'!J52+('Income statement'!F52+'Actuarial balances'!C248)</f>
        <v>694807.30806172406</v>
      </c>
      <c r="E82" s="35">
        <f t="shared" si="14"/>
        <v>45062.796429131646</v>
      </c>
      <c r="G82" s="35">
        <f t="shared" si="13"/>
        <v>-615389.46599920979</v>
      </c>
      <c r="H82" s="35">
        <f>C82</f>
        <v>-34355.04563338263</v>
      </c>
      <c r="I82" s="24">
        <f>'Income statement'!B52-'Actuarial balances'!B248</f>
        <v>849710.29402958229</v>
      </c>
      <c r="J82" s="24">
        <f>'Income statement'!H52+'Income statement'!J52</f>
        <v>-146743.65122666201</v>
      </c>
      <c r="K82" s="24">
        <f>'Income statement'!D52+'Income statement'!I52+'Income statement'!E52-'Income statement'!D18-'Income statement'!I18-'Income statement'!E18</f>
        <v>-19057.832238749135</v>
      </c>
      <c r="L82" s="24">
        <f>'Income statement'!F52-'Income statement'!F18-(I82-I50)-(H82-H50)</f>
        <v>10898.497497553704</v>
      </c>
      <c r="M82" s="35">
        <f>'Income statement'!L52</f>
        <v>45062.796429131296</v>
      </c>
      <c r="N82" s="35">
        <f t="shared" si="16"/>
        <v>45062.796429132432</v>
      </c>
      <c r="O82" s="35">
        <f t="shared" si="17"/>
        <v>-1.1350493878126144E-9</v>
      </c>
    </row>
    <row r="83" spans="1:15" x14ac:dyDescent="0.25">
      <c r="A83" s="13">
        <v>6</v>
      </c>
      <c r="B83" s="24">
        <f>'Income statement'!K53+'Income statement'!G53</f>
        <v>-564602.5048599164</v>
      </c>
      <c r="C83" s="24">
        <f>'Income statement'!C53-'Actuarial balances'!C249</f>
        <v>-2398.1646745079197</v>
      </c>
      <c r="D83" s="24">
        <f>'Income statement'!B53+'Income statement'!D53+'Income statement'!E53+'Income statement'!H53+'Income statement'!I53+'Income statement'!J53+('Income statement'!F53+'Actuarial balances'!C249)</f>
        <v>645269.6874038945</v>
      </c>
      <c r="E83" s="35">
        <f t="shared" si="14"/>
        <v>78269.017869470175</v>
      </c>
      <c r="G83" s="35">
        <f t="shared" si="13"/>
        <v>-564602.5048599164</v>
      </c>
      <c r="H83" s="35">
        <f t="shared" ref="H83:H87" si="18">C83</f>
        <v>-2398.1646745079197</v>
      </c>
      <c r="I83" s="24">
        <f>'Income statement'!B53-'Actuarial balances'!B249</f>
        <v>780482.696954404</v>
      </c>
      <c r="J83" s="24">
        <f>'Income statement'!H53+'Income statement'!J53</f>
        <v>-135213.00955051006</v>
      </c>
      <c r="K83" s="24">
        <v>0</v>
      </c>
      <c r="L83" s="24">
        <v>0</v>
      </c>
      <c r="M83" s="35">
        <f>'Income statement'!L53</f>
        <v>78269.017869470175</v>
      </c>
      <c r="N83" s="35">
        <f t="shared" si="16"/>
        <v>78269.017869469622</v>
      </c>
      <c r="O83" s="35">
        <f t="shared" si="17"/>
        <v>5.5297277867794037E-10</v>
      </c>
    </row>
    <row r="84" spans="1:15" x14ac:dyDescent="0.25">
      <c r="A84" s="13">
        <v>7</v>
      </c>
      <c r="B84" s="24">
        <f>'Income statement'!K54+'Income statement'!G54</f>
        <v>-524308.46143532824</v>
      </c>
      <c r="C84" s="24">
        <f>'Income statement'!C54-'Actuarial balances'!C250</f>
        <v>27075.545888969908</v>
      </c>
      <c r="D84" s="24">
        <f>'Income statement'!B54+'Income statement'!D54+'Income statement'!E54+'Income statement'!H54+'Income statement'!I54+'Income statement'!J54+('Income statement'!F54+'Actuarial balances'!C250)</f>
        <v>598816.23411167227</v>
      </c>
      <c r="E84" s="35">
        <f t="shared" si="14"/>
        <v>101583.31856531394</v>
      </c>
      <c r="G84" s="35">
        <f t="shared" si="13"/>
        <v>-524308.46143532824</v>
      </c>
      <c r="H84" s="35">
        <f t="shared" si="18"/>
        <v>27075.545888969908</v>
      </c>
      <c r="I84" s="24">
        <f>'Income statement'!B54-'Actuarial balances'!B250</f>
        <v>724781.91027258942</v>
      </c>
      <c r="J84" s="24">
        <f>'Income statement'!H54+'Income statement'!J54</f>
        <v>-125965.67616091637</v>
      </c>
      <c r="K84" s="24">
        <v>0</v>
      </c>
      <c r="L84" s="24">
        <v>0</v>
      </c>
      <c r="M84" s="35">
        <f>'Income statement'!L54</f>
        <v>101583.31856531405</v>
      </c>
      <c r="N84" s="35">
        <f t="shared" si="16"/>
        <v>101583.31856531472</v>
      </c>
      <c r="O84" s="35">
        <f t="shared" si="17"/>
        <v>-6.6938810050487518E-10</v>
      </c>
    </row>
    <row r="85" spans="1:15" x14ac:dyDescent="0.25">
      <c r="A85" s="13">
        <v>8</v>
      </c>
      <c r="B85" s="24">
        <f>'Income statement'!K55+'Income statement'!G55</f>
        <v>-492032.31567593868</v>
      </c>
      <c r="C85" s="24">
        <f>'Income statement'!C55-'Actuarial balances'!C251</f>
        <v>55128.998361228965</v>
      </c>
      <c r="D85" s="24">
        <f>'Income statement'!B55+'Income statement'!D55+'Income statement'!E55+'Income statement'!H55+'Income statement'!I55+'Income statement'!J55+('Income statement'!F55+'Actuarial balances'!C251)</f>
        <v>561568.2232281426</v>
      </c>
      <c r="E85" s="35">
        <f t="shared" si="14"/>
        <v>124664.90591343289</v>
      </c>
      <c r="G85" s="35">
        <f t="shared" si="13"/>
        <v>-492032.31567593868</v>
      </c>
      <c r="H85" s="35">
        <f t="shared" si="18"/>
        <v>55128.998361228965</v>
      </c>
      <c r="I85" s="24">
        <f>'Income statement'!B55-'Actuarial balances'!B251</f>
        <v>680164.72725844057</v>
      </c>
      <c r="J85" s="24">
        <f>'Income statement'!H55+'Income statement'!J55</f>
        <v>-118596.50403030025</v>
      </c>
      <c r="K85" s="24">
        <v>0</v>
      </c>
      <c r="L85" s="24">
        <v>0</v>
      </c>
      <c r="M85" s="35">
        <f>'Income statement'!L55</f>
        <v>124664.90591343312</v>
      </c>
      <c r="N85" s="35">
        <f t="shared" si="16"/>
        <v>124664.90591343062</v>
      </c>
      <c r="O85" s="35">
        <f t="shared" si="17"/>
        <v>2.5029294192790985E-9</v>
      </c>
    </row>
    <row r="86" spans="1:15" x14ac:dyDescent="0.25">
      <c r="A86" s="13">
        <v>9</v>
      </c>
      <c r="B86" s="24">
        <f>'Income statement'!K56+'Income statement'!G56</f>
        <v>-466557.07191404328</v>
      </c>
      <c r="C86" s="24">
        <f>'Income statement'!C56-'Actuarial balances'!C252</f>
        <v>82377.59755749465</v>
      </c>
      <c r="D86" s="24">
        <f>'Income statement'!B56+'Income statement'!D56+'Income statement'!E56+'Income statement'!H56+'Income statement'!I56+'Income statement'!J56+('Income statement'!F56+'Actuarial balances'!C252)</f>
        <v>532120.15178178228</v>
      </c>
      <c r="E86" s="35">
        <f t="shared" si="14"/>
        <v>147940.67742523365</v>
      </c>
      <c r="G86" s="35">
        <f t="shared" si="13"/>
        <v>-466557.07191404328</v>
      </c>
      <c r="H86" s="35">
        <f t="shared" si="18"/>
        <v>82377.59755749465</v>
      </c>
      <c r="I86" s="24">
        <f>'Income statement'!B56-'Actuarial balances'!B252</f>
        <v>644948.82441403484</v>
      </c>
      <c r="J86" s="24">
        <f>'Income statement'!H56+'Income statement'!J56</f>
        <v>-112828.67263225158</v>
      </c>
      <c r="K86" s="24">
        <v>0</v>
      </c>
      <c r="L86" s="24">
        <v>0</v>
      </c>
      <c r="M86" s="35">
        <f>'Income statement'!L56</f>
        <v>147940.67742523446</v>
      </c>
      <c r="N86" s="35">
        <f t="shared" si="16"/>
        <v>147940.67742523464</v>
      </c>
      <c r="O86" s="35">
        <f t="shared" si="17"/>
        <v>0</v>
      </c>
    </row>
    <row r="87" spans="1:15" x14ac:dyDescent="0.25">
      <c r="A87" s="13">
        <v>10</v>
      </c>
      <c r="B87" s="24">
        <f>'Income statement'!K57+'Income statement'!G57</f>
        <v>-446949.50708521792</v>
      </c>
      <c r="C87" s="24">
        <f>'Income statement'!C57-'Actuarial balances'!C253</f>
        <v>109356.86720895441</v>
      </c>
      <c r="D87" s="24">
        <f>'Income statement'!B57+'Income statement'!D57+'Income statement'!E57+'Income statement'!H57+'Income statement'!I57+'Income statement'!J57+('Income statement'!F57+'Actuarial balances'!C253)</f>
        <v>509393.17924723029</v>
      </c>
      <c r="E87" s="35">
        <f t="shared" si="14"/>
        <v>171800.53937096678</v>
      </c>
      <c r="G87" s="35">
        <f t="shared" si="13"/>
        <v>-446949.50708521792</v>
      </c>
      <c r="H87" s="35">
        <f t="shared" si="18"/>
        <v>109356.86720895441</v>
      </c>
      <c r="I87" s="24">
        <f>'Income statement'!B57-'Actuarial balances'!B253</f>
        <v>617844.1535233045</v>
      </c>
      <c r="J87" s="24">
        <f>'Income statement'!H57+'Income statement'!J57</f>
        <v>-108450.97427606148</v>
      </c>
      <c r="K87" s="24">
        <v>0</v>
      </c>
      <c r="L87" s="24">
        <v>0</v>
      </c>
      <c r="M87" s="35">
        <f>'Income statement'!L57</f>
        <v>171800.53937097773</v>
      </c>
      <c r="N87" s="35">
        <f t="shared" si="16"/>
        <v>171800.53937097953</v>
      </c>
      <c r="O87" s="35">
        <f t="shared" si="17"/>
        <v>-1.8044374883174896E-9</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Disclaimer</vt:lpstr>
      <vt:lpstr>Input</vt:lpstr>
      <vt:lpstr>Actuarial balances</vt:lpstr>
      <vt:lpstr>Income statement</vt:lpstr>
      <vt:lpstr>Invested asset rollforwards</vt:lpstr>
      <vt:lpstr>Balance sheet</vt:lpstr>
      <vt:lpstr>GAAP Equity Rollforward</vt:lpstr>
      <vt:lpstr>Income chart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2024-11-18T20:42:31Z</dcterms:created>
  <dcterms:modified xsi:type="dcterms:W3CDTF">2024-11-18T20:42:35Z</dcterms:modified>
</cp:coreProperties>
</file>