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18" documentId="13_ncr:1_{2BBEE23D-FED8-415A-BE7E-37BC4A45B060}" xr6:coauthVersionLast="47" xr6:coauthVersionMax="47" xr10:uidLastSave="{D8BFA100-AD45-4FB0-91AC-FDD6F629DC47}"/>
  <bookViews>
    <workbookView xWindow="-120" yWindow="-120" windowWidth="29040" windowHeight="15720" xr2:uid="{00000000-000D-0000-FFFF-FFFF00000000}"/>
  </bookViews>
  <sheets>
    <sheet name="Disclaimer" sheetId="11" r:id="rId1"/>
    <sheet name="Input" sheetId="1" r:id="rId2"/>
    <sheet name="Actuarial balances" sheetId="10" r:id="rId3"/>
    <sheet name="Income statement" sheetId="4" r:id="rId4"/>
    <sheet name="Invested asset rollforwards" sheetId="7" r:id="rId5"/>
    <sheet name="Balance sheet" sheetId="5" r:id="rId6"/>
    <sheet name="GAAP Equity Rollforward" sheetId="6"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 i="1" l="1"/>
  <c r="O37" i="4" l="1"/>
  <c r="O36" i="4"/>
  <c r="O35" i="4"/>
  <c r="O34" i="4"/>
  <c r="Q64" i="10"/>
  <c r="P64" i="10"/>
  <c r="O64" i="10"/>
  <c r="M30" i="5"/>
  <c r="M31" i="5"/>
  <c r="M32" i="5"/>
  <c r="M33" i="5"/>
  <c r="M34" i="5"/>
  <c r="M35" i="5"/>
  <c r="M36" i="5"/>
  <c r="M37" i="5"/>
  <c r="M38" i="5"/>
  <c r="M29" i="5"/>
  <c r="R13" i="5"/>
  <c r="R14" i="5"/>
  <c r="R15" i="5"/>
  <c r="R16" i="5"/>
  <c r="R17" i="5"/>
  <c r="R18" i="5"/>
  <c r="R19" i="5"/>
  <c r="R20" i="5"/>
  <c r="R21" i="5"/>
  <c r="R22" i="5"/>
  <c r="M14" i="5"/>
  <c r="M15" i="5"/>
  <c r="M16" i="5"/>
  <c r="M17" i="5"/>
  <c r="M18" i="5"/>
  <c r="M19" i="5"/>
  <c r="M20" i="5"/>
  <c r="M21" i="5"/>
  <c r="M22" i="5"/>
  <c r="M13" i="5"/>
  <c r="Q45" i="7"/>
  <c r="Q44" i="7"/>
  <c r="Q43" i="7"/>
  <c r="Q42" i="7"/>
  <c r="Q41" i="7"/>
  <c r="Q40" i="7"/>
  <c r="Q39" i="7"/>
  <c r="Q38" i="7"/>
  <c r="Q37" i="7"/>
  <c r="Q36" i="7"/>
  <c r="L54" i="10"/>
  <c r="R54" i="10" s="1"/>
  <c r="R64" i="10" l="1"/>
  <c r="E41" i="1"/>
  <c r="Q38" i="5" l="1"/>
  <c r="B158" i="10"/>
  <c r="F38" i="5" l="1"/>
  <c r="M37" i="7"/>
  <c r="V37" i="7" s="1"/>
  <c r="M38" i="7"/>
  <c r="V38" i="7" s="1"/>
  <c r="M39" i="7"/>
  <c r="V39" i="7" s="1"/>
  <c r="M40" i="7"/>
  <c r="V40" i="7" s="1"/>
  <c r="M41" i="7"/>
  <c r="V41" i="7" s="1"/>
  <c r="M42" i="7"/>
  <c r="V42" i="7" s="1"/>
  <c r="M43" i="7"/>
  <c r="V43" i="7" s="1"/>
  <c r="M44" i="7"/>
  <c r="V44" i="7" s="1"/>
  <c r="M45" i="7"/>
  <c r="M36" i="7"/>
  <c r="V36" i="7" s="1"/>
  <c r="L43" i="1" l="1"/>
  <c r="B19" i="1"/>
  <c r="B20" i="1" s="1"/>
  <c r="B21" i="1" s="1"/>
  <c r="B22" i="1" s="1"/>
  <c r="B23" i="1" s="1"/>
  <c r="B24" i="1" s="1"/>
  <c r="B25" i="1" s="1"/>
  <c r="B26" i="1" s="1"/>
  <c r="B27" i="1" s="1"/>
  <c r="F18" i="1"/>
  <c r="B33" i="6" l="1"/>
  <c r="B133" i="10"/>
  <c r="B134" i="10"/>
  <c r="B135" i="10"/>
  <c r="B136" i="10"/>
  <c r="B137" i="10"/>
  <c r="N40" i="1"/>
  <c r="N41" i="1"/>
  <c r="N42" i="1"/>
  <c r="N43" i="1"/>
  <c r="N44" i="1"/>
  <c r="N45" i="1"/>
  <c r="N46" i="1"/>
  <c r="N47" i="1"/>
  <c r="N48" i="1"/>
  <c r="N39" i="1"/>
  <c r="M40" i="1"/>
  <c r="M41" i="1"/>
  <c r="M42" i="1"/>
  <c r="M43" i="1"/>
  <c r="M44" i="1"/>
  <c r="M45" i="1"/>
  <c r="M46" i="1"/>
  <c r="M47" i="1"/>
  <c r="M48" i="1"/>
  <c r="M39" i="1"/>
  <c r="L40" i="1"/>
  <c r="L41" i="1"/>
  <c r="L42" i="1"/>
  <c r="L44" i="1"/>
  <c r="L45" i="1"/>
  <c r="L46" i="1"/>
  <c r="L47" i="1"/>
  <c r="L48" i="1"/>
  <c r="L39" i="1"/>
  <c r="K40" i="1"/>
  <c r="K41" i="1"/>
  <c r="K42" i="1"/>
  <c r="K43" i="1"/>
  <c r="K44" i="1"/>
  <c r="K45" i="1"/>
  <c r="K46" i="1"/>
  <c r="K47" i="1"/>
  <c r="K48" i="1"/>
  <c r="K39" i="1"/>
  <c r="I39" i="1"/>
  <c r="G40" i="1"/>
  <c r="H40" i="1"/>
  <c r="G41" i="1"/>
  <c r="H41" i="1"/>
  <c r="G42" i="1"/>
  <c r="H42" i="1"/>
  <c r="G43" i="1"/>
  <c r="H43" i="1"/>
  <c r="G44" i="1"/>
  <c r="H44" i="1"/>
  <c r="G45" i="1"/>
  <c r="H45" i="1"/>
  <c r="G46" i="1"/>
  <c r="H46" i="1"/>
  <c r="G47" i="1"/>
  <c r="H47" i="1"/>
  <c r="G48" i="1"/>
  <c r="H48" i="1"/>
  <c r="H39" i="1"/>
  <c r="G39" i="1"/>
  <c r="D39" i="1"/>
  <c r="E39" i="1"/>
  <c r="F39" i="1"/>
  <c r="D40" i="1"/>
  <c r="E40" i="1"/>
  <c r="F40" i="1"/>
  <c r="D41" i="1"/>
  <c r="F41" i="1"/>
  <c r="D42" i="1"/>
  <c r="E42" i="1"/>
  <c r="F42" i="1"/>
  <c r="D43" i="1"/>
  <c r="E43" i="1"/>
  <c r="F43" i="1"/>
  <c r="E44" i="1"/>
  <c r="F44" i="1"/>
  <c r="E45" i="1"/>
  <c r="F45" i="1"/>
  <c r="E46" i="1"/>
  <c r="F46" i="1"/>
  <c r="E47" i="1"/>
  <c r="F47" i="1"/>
  <c r="E48" i="1"/>
  <c r="F48" i="1"/>
  <c r="C40" i="1"/>
  <c r="C41" i="1"/>
  <c r="C42" i="1"/>
  <c r="C43" i="1"/>
  <c r="C39" i="1"/>
  <c r="B40" i="1"/>
  <c r="B41" i="1"/>
  <c r="B42" i="1"/>
  <c r="B43" i="1"/>
  <c r="B44" i="1"/>
  <c r="B45" i="1"/>
  <c r="B46" i="1"/>
  <c r="B47" i="1"/>
  <c r="B48" i="1"/>
  <c r="B39" i="1"/>
  <c r="B32" i="1"/>
  <c r="B31" i="1"/>
  <c r="D133" i="10" l="1"/>
  <c r="H109" i="10"/>
  <c r="I19" i="1"/>
  <c r="I20" i="1" l="1"/>
  <c r="I40" i="1"/>
  <c r="D14" i="10"/>
  <c r="G34" i="4" s="1"/>
  <c r="B33" i="10"/>
  <c r="B34" i="10"/>
  <c r="B35" i="10"/>
  <c r="B36" i="10"/>
  <c r="B37" i="10"/>
  <c r="B38" i="10"/>
  <c r="B39" i="10"/>
  <c r="B40" i="10"/>
  <c r="B41" i="10"/>
  <c r="B42" i="10"/>
  <c r="B93" i="10"/>
  <c r="B94" i="10"/>
  <c r="B95" i="10"/>
  <c r="B96" i="10"/>
  <c r="B97" i="10"/>
  <c r="B98" i="10"/>
  <c r="B99" i="10"/>
  <c r="B100" i="10"/>
  <c r="B101" i="10"/>
  <c r="K64" i="10" l="1"/>
  <c r="J64" i="10"/>
  <c r="I64" i="10"/>
  <c r="I21" i="1"/>
  <c r="I41" i="1"/>
  <c r="H14" i="10"/>
  <c r="G14" i="4"/>
  <c r="N128" i="10"/>
  <c r="C34" i="10"/>
  <c r="D33" i="10" s="1"/>
  <c r="D34" i="10" s="1"/>
  <c r="C74" i="10"/>
  <c r="B15" i="10"/>
  <c r="G33" i="10"/>
  <c r="C15" i="10" l="1"/>
  <c r="G15" i="10" s="1"/>
  <c r="L33" i="10" s="1"/>
  <c r="I33" i="10"/>
  <c r="L64" i="10"/>
  <c r="C158" i="10" s="1"/>
  <c r="D158" i="10" s="1"/>
  <c r="H14" i="4"/>
  <c r="H34" i="4"/>
  <c r="E73" i="10"/>
  <c r="I22" i="1"/>
  <c r="I42" i="1"/>
  <c r="E33" i="10"/>
  <c r="B34" i="4" s="1"/>
  <c r="N129" i="10"/>
  <c r="H33" i="10"/>
  <c r="C35" i="10"/>
  <c r="C36" i="10" s="1"/>
  <c r="F15" i="10"/>
  <c r="K33" i="10" s="1"/>
  <c r="D35" i="10"/>
  <c r="D15" i="10" l="1"/>
  <c r="B16" i="10" s="1"/>
  <c r="I34" i="10" s="1"/>
  <c r="J33" i="10"/>
  <c r="I14" i="4"/>
  <c r="F16" i="7" s="1"/>
  <c r="F36" i="7" s="1"/>
  <c r="I34" i="4"/>
  <c r="E55" i="10"/>
  <c r="J34" i="4"/>
  <c r="E14" i="4"/>
  <c r="E34" i="4"/>
  <c r="D14" i="4"/>
  <c r="D34" i="4"/>
  <c r="I23" i="1"/>
  <c r="I43" i="1"/>
  <c r="B14" i="4"/>
  <c r="B74" i="10"/>
  <c r="D74" i="10" s="1"/>
  <c r="H15" i="10"/>
  <c r="C37" i="10"/>
  <c r="D36" i="10"/>
  <c r="G34" i="10" l="1"/>
  <c r="H15" i="4" s="1"/>
  <c r="F16" i="10"/>
  <c r="K34" i="10" s="1"/>
  <c r="D35" i="4" s="1"/>
  <c r="C16" i="10"/>
  <c r="G16" i="10" s="1"/>
  <c r="L34" i="10" s="1"/>
  <c r="E56" i="10"/>
  <c r="I35" i="4"/>
  <c r="I15" i="4"/>
  <c r="F17" i="7" s="1"/>
  <c r="F37" i="7" s="1"/>
  <c r="J34" i="10"/>
  <c r="H16" i="10"/>
  <c r="E35" i="10" s="1"/>
  <c r="I24" i="1"/>
  <c r="I44" i="1"/>
  <c r="B92" i="10"/>
  <c r="E34" i="10"/>
  <c r="E74" i="10"/>
  <c r="C134" i="10"/>
  <c r="N130" i="10"/>
  <c r="C38" i="10"/>
  <c r="D37" i="10"/>
  <c r="D15" i="4" l="1"/>
  <c r="H34" i="10"/>
  <c r="H35" i="4"/>
  <c r="E15" i="4"/>
  <c r="E35" i="4"/>
  <c r="D16" i="10"/>
  <c r="E75" i="10"/>
  <c r="B16" i="4"/>
  <c r="B36" i="4"/>
  <c r="B15" i="4"/>
  <c r="B35" i="4"/>
  <c r="I25" i="1"/>
  <c r="I45" i="1"/>
  <c r="F34" i="10"/>
  <c r="B76" i="10"/>
  <c r="F35" i="10"/>
  <c r="B75" i="10"/>
  <c r="C135" i="10"/>
  <c r="C39" i="10"/>
  <c r="D38" i="10"/>
  <c r="G35" i="10" l="1"/>
  <c r="B17" i="10"/>
  <c r="J36" i="4"/>
  <c r="J35" i="4"/>
  <c r="I26" i="1"/>
  <c r="I46" i="1"/>
  <c r="D134" i="10"/>
  <c r="C136" i="10"/>
  <c r="C40" i="10"/>
  <c r="D39" i="10"/>
  <c r="H35" i="10" l="1"/>
  <c r="H36" i="4"/>
  <c r="H16" i="4"/>
  <c r="C17" i="10"/>
  <c r="F17" i="10"/>
  <c r="I35" i="10"/>
  <c r="I27" i="1"/>
  <c r="I48" i="1" s="1"/>
  <c r="I47" i="1"/>
  <c r="D135" i="10"/>
  <c r="C137" i="10"/>
  <c r="C41" i="10"/>
  <c r="D40" i="10"/>
  <c r="I36" i="4" l="1"/>
  <c r="E57" i="10"/>
  <c r="J35" i="10"/>
  <c r="I16" i="4"/>
  <c r="F18" i="7" s="1"/>
  <c r="F38" i="7" s="1"/>
  <c r="G17" i="10"/>
  <c r="L35" i="10" s="1"/>
  <c r="D17" i="10"/>
  <c r="K35" i="10"/>
  <c r="N131" i="10"/>
  <c r="D136" i="10"/>
  <c r="C42" i="10"/>
  <c r="D41" i="10"/>
  <c r="H17" i="10" l="1"/>
  <c r="E76" i="10" s="1"/>
  <c r="G36" i="10"/>
  <c r="B18" i="10"/>
  <c r="C18" i="10" s="1"/>
  <c r="G18" i="10" s="1"/>
  <c r="L36" i="10" s="1"/>
  <c r="D16" i="4"/>
  <c r="D36" i="4"/>
  <c r="E36" i="4"/>
  <c r="E16" i="4"/>
  <c r="D137" i="10"/>
  <c r="D42" i="10"/>
  <c r="E36" i="10" l="1"/>
  <c r="D18" i="10"/>
  <c r="G37" i="10" s="1"/>
  <c r="H18" i="4" s="1"/>
  <c r="B17" i="4"/>
  <c r="B37" i="4"/>
  <c r="J37" i="4" s="1"/>
  <c r="B77" i="10"/>
  <c r="F36" i="10"/>
  <c r="I36" i="10"/>
  <c r="F18" i="10"/>
  <c r="H17" i="4"/>
  <c r="H36" i="10"/>
  <c r="H37" i="4"/>
  <c r="E17" i="4"/>
  <c r="E37" i="4"/>
  <c r="N132" i="10"/>
  <c r="B19" i="10" l="1"/>
  <c r="C19" i="10" s="1"/>
  <c r="G19" i="10" s="1"/>
  <c r="L37" i="10" s="1"/>
  <c r="E38" i="4" s="1"/>
  <c r="H37" i="10"/>
  <c r="H38" i="4"/>
  <c r="K36" i="10"/>
  <c r="H18" i="10"/>
  <c r="J36" i="10"/>
  <c r="E58" i="10"/>
  <c r="I17" i="4"/>
  <c r="F19" i="7" s="1"/>
  <c r="F39" i="7" s="1"/>
  <c r="I37" i="4"/>
  <c r="E18" i="4" l="1"/>
  <c r="F19" i="10"/>
  <c r="K37" i="10" s="1"/>
  <c r="I37" i="10"/>
  <c r="I38" i="4" s="1"/>
  <c r="D19" i="10"/>
  <c r="B20" i="10" s="1"/>
  <c r="D18" i="4"/>
  <c r="D38" i="4"/>
  <c r="H19" i="10"/>
  <c r="H114" i="10" s="1"/>
  <c r="D17" i="4"/>
  <c r="D37" i="4"/>
  <c r="I18" i="4"/>
  <c r="F20" i="7" s="1"/>
  <c r="F40" i="7" s="1"/>
  <c r="E37" i="10"/>
  <c r="E77" i="10"/>
  <c r="D114" i="10" l="1"/>
  <c r="E59" i="10"/>
  <c r="G38" i="10"/>
  <c r="H19" i="4" s="1"/>
  <c r="J37" i="10"/>
  <c r="E38" i="10"/>
  <c r="B19" i="4" s="1"/>
  <c r="E78" i="10"/>
  <c r="B78" i="10"/>
  <c r="B18" i="4"/>
  <c r="B38" i="4"/>
  <c r="J38" i="4" s="1"/>
  <c r="F37" i="10"/>
  <c r="F20" i="10"/>
  <c r="K38" i="10" s="1"/>
  <c r="D19" i="4" s="1"/>
  <c r="I38" i="10"/>
  <c r="E133" i="10"/>
  <c r="B115" i="10"/>
  <c r="G133" i="10" s="1"/>
  <c r="C20" i="10"/>
  <c r="G20" i="10" s="1"/>
  <c r="L38" i="10" s="1"/>
  <c r="E19" i="4" s="1"/>
  <c r="F38" i="10"/>
  <c r="B79" i="10" l="1"/>
  <c r="H38" i="10"/>
  <c r="B39" i="4"/>
  <c r="H133" i="10"/>
  <c r="E60" i="10"/>
  <c r="I39" i="4"/>
  <c r="I19" i="4"/>
  <c r="F21" i="7" s="1"/>
  <c r="F41" i="7" s="1"/>
  <c r="J38" i="10"/>
  <c r="D20" i="10"/>
  <c r="G39" i="10" s="1"/>
  <c r="H20" i="4" s="1"/>
  <c r="F115" i="10"/>
  <c r="H39" i="4"/>
  <c r="F133" i="10"/>
  <c r="C115" i="10"/>
  <c r="H20" i="10"/>
  <c r="E39" i="10" s="1"/>
  <c r="B40" i="4" s="1"/>
  <c r="B21" i="10" l="1"/>
  <c r="I39" i="10" s="1"/>
  <c r="E61" i="10" s="1"/>
  <c r="E79" i="10"/>
  <c r="G115" i="10"/>
  <c r="H115" i="10" s="1"/>
  <c r="D115" i="10"/>
  <c r="I133" i="10"/>
  <c r="B20" i="4"/>
  <c r="F39" i="10"/>
  <c r="B80" i="10"/>
  <c r="C21" i="10"/>
  <c r="H39" i="10"/>
  <c r="F21" i="10" l="1"/>
  <c r="K39" i="10" s="1"/>
  <c r="D20" i="4" s="1"/>
  <c r="J39" i="10"/>
  <c r="I20" i="4"/>
  <c r="F22" i="7" s="1"/>
  <c r="F42" i="7" s="1"/>
  <c r="I40" i="4"/>
  <c r="J133" i="10"/>
  <c r="E39" i="4" s="1"/>
  <c r="E134" i="10"/>
  <c r="B116" i="10"/>
  <c r="G134" i="10" s="1"/>
  <c r="D39" i="4"/>
  <c r="G21" i="10"/>
  <c r="L39" i="10" s="1"/>
  <c r="E20" i="4" s="1"/>
  <c r="D21" i="10"/>
  <c r="H134" i="10" l="1"/>
  <c r="K133" i="10"/>
  <c r="H40" i="4"/>
  <c r="F134" i="10"/>
  <c r="F116" i="10"/>
  <c r="I134" i="10" s="1"/>
  <c r="C116" i="10"/>
  <c r="G40" i="10"/>
  <c r="H21" i="4" s="1"/>
  <c r="B22" i="10"/>
  <c r="H21" i="10"/>
  <c r="L133" i="10" l="1"/>
  <c r="F22" i="10"/>
  <c r="K40" i="10" s="1"/>
  <c r="D21" i="4" s="1"/>
  <c r="I40" i="10"/>
  <c r="D40" i="4"/>
  <c r="G116" i="10"/>
  <c r="H116" i="10" s="1"/>
  <c r="D116" i="10"/>
  <c r="E40" i="10"/>
  <c r="E80" i="10"/>
  <c r="C22" i="10"/>
  <c r="G22" i="10" s="1"/>
  <c r="L40" i="10" s="1"/>
  <c r="E21" i="4" s="1"/>
  <c r="H40" i="10"/>
  <c r="E62" i="10" l="1"/>
  <c r="I21" i="4"/>
  <c r="F23" i="7" s="1"/>
  <c r="F43" i="7" s="1"/>
  <c r="I41" i="4"/>
  <c r="J40" i="10"/>
  <c r="B21" i="4"/>
  <c r="B41" i="4"/>
  <c r="J134" i="10"/>
  <c r="E135" i="10"/>
  <c r="B117" i="10"/>
  <c r="G135" i="10" s="1"/>
  <c r="B81" i="10"/>
  <c r="F40" i="10"/>
  <c r="D22" i="10"/>
  <c r="B23" i="10" s="1"/>
  <c r="H22" i="10"/>
  <c r="C117" i="10" l="1"/>
  <c r="D117" i="10" s="1"/>
  <c r="H135" i="10"/>
  <c r="F23" i="10"/>
  <c r="K41" i="10" s="1"/>
  <c r="D22" i="4" s="1"/>
  <c r="I41" i="10"/>
  <c r="F117" i="10"/>
  <c r="H41" i="4"/>
  <c r="F135" i="10"/>
  <c r="E40" i="4"/>
  <c r="K134" i="10"/>
  <c r="C23" i="10"/>
  <c r="G23" i="10" s="1"/>
  <c r="E41" i="10"/>
  <c r="E81" i="10"/>
  <c r="G41" i="10"/>
  <c r="H22" i="4" s="1"/>
  <c r="G117" i="10" l="1"/>
  <c r="J135" i="10" s="1"/>
  <c r="E41" i="4" s="1"/>
  <c r="E63" i="10"/>
  <c r="I42" i="4"/>
  <c r="I22" i="4"/>
  <c r="F24" i="7" s="1"/>
  <c r="F44" i="7" s="1"/>
  <c r="J41" i="10"/>
  <c r="B22" i="4"/>
  <c r="B42" i="4"/>
  <c r="L134" i="10"/>
  <c r="E136" i="10"/>
  <c r="B118" i="10"/>
  <c r="G136" i="10" s="1"/>
  <c r="H117" i="10"/>
  <c r="I135" i="10"/>
  <c r="F41" i="10"/>
  <c r="D23" i="10"/>
  <c r="G42" i="10" s="1"/>
  <c r="H23" i="4" s="1"/>
  <c r="B82" i="10"/>
  <c r="H41" i="10"/>
  <c r="L41" i="10"/>
  <c r="E22" i="4" s="1"/>
  <c r="H23" i="10"/>
  <c r="E82" i="10" s="1"/>
  <c r="H136" i="10" l="1"/>
  <c r="D41" i="4"/>
  <c r="K135" i="10"/>
  <c r="C118" i="10"/>
  <c r="D118" i="10" s="1"/>
  <c r="F118" i="10"/>
  <c r="I136" i="10" s="1"/>
  <c r="H42" i="4"/>
  <c r="F136" i="10"/>
  <c r="B24" i="10"/>
  <c r="H42" i="10"/>
  <c r="H44" i="10" s="1"/>
  <c r="E42" i="10"/>
  <c r="F24" i="10" l="1"/>
  <c r="K42" i="10" s="1"/>
  <c r="D23" i="4" s="1"/>
  <c r="I42" i="10"/>
  <c r="B23" i="4"/>
  <c r="B43" i="4"/>
  <c r="C24" i="10"/>
  <c r="G24" i="10" s="1"/>
  <c r="L135" i="10"/>
  <c r="E137" i="10"/>
  <c r="B119" i="10"/>
  <c r="D42" i="4"/>
  <c r="G118" i="10"/>
  <c r="H118" i="10" s="1"/>
  <c r="F42" i="10"/>
  <c r="B83" i="10"/>
  <c r="D24" i="10" l="1"/>
  <c r="E64" i="10"/>
  <c r="I43" i="4"/>
  <c r="I23" i="4"/>
  <c r="F25" i="7" s="1"/>
  <c r="F45" i="7" s="1"/>
  <c r="J42" i="10"/>
  <c r="J44" i="10" s="1"/>
  <c r="F119" i="10"/>
  <c r="I137" i="10" s="1"/>
  <c r="D43" i="4" s="1"/>
  <c r="G137" i="10"/>
  <c r="C119" i="10"/>
  <c r="D119" i="10" s="1"/>
  <c r="J136" i="10"/>
  <c r="H43" i="4"/>
  <c r="F137" i="10"/>
  <c r="F139" i="10" s="1"/>
  <c r="L42" i="10"/>
  <c r="E23" i="4" s="1"/>
  <c r="H24" i="10"/>
  <c r="E83" i="10" s="1"/>
  <c r="E85" i="10" s="1"/>
  <c r="H137" i="10" l="1"/>
  <c r="H139" i="10" s="1"/>
  <c r="Q63" i="10"/>
  <c r="Q54" i="10"/>
  <c r="Q55" i="10"/>
  <c r="Q56" i="10"/>
  <c r="Q57" i="10"/>
  <c r="Q61" i="10"/>
  <c r="Q59" i="10"/>
  <c r="Q62" i="10"/>
  <c r="Q58" i="10"/>
  <c r="Q60" i="10"/>
  <c r="K63" i="10"/>
  <c r="K54" i="10"/>
  <c r="K55" i="10"/>
  <c r="K56" i="10"/>
  <c r="K57" i="10"/>
  <c r="K62" i="10"/>
  <c r="K60" i="10"/>
  <c r="K61" i="10"/>
  <c r="K59" i="10"/>
  <c r="K58" i="10"/>
  <c r="G119" i="10"/>
  <c r="E42" i="4"/>
  <c r="K136" i="10"/>
  <c r="F75" i="10"/>
  <c r="G75" i="10" s="1"/>
  <c r="C93" i="10" s="1"/>
  <c r="K35" i="4" s="1"/>
  <c r="F74" i="10"/>
  <c r="G74" i="10" s="1"/>
  <c r="C92" i="10" s="1"/>
  <c r="F76" i="10"/>
  <c r="G76" i="10" s="1"/>
  <c r="C94" i="10" s="1"/>
  <c r="K36" i="4" s="1"/>
  <c r="F77" i="10"/>
  <c r="G77" i="10" s="1"/>
  <c r="C95" i="10" s="1"/>
  <c r="K37" i="4" s="1"/>
  <c r="F78" i="10"/>
  <c r="G78" i="10" s="1"/>
  <c r="C96" i="10" s="1"/>
  <c r="K38" i="4" s="1"/>
  <c r="F79" i="10"/>
  <c r="G79" i="10" s="1"/>
  <c r="C97" i="10" s="1"/>
  <c r="K39" i="4" s="1"/>
  <c r="F80" i="10"/>
  <c r="G80" i="10" s="1"/>
  <c r="C98" i="10" s="1"/>
  <c r="K40" i="4" s="1"/>
  <c r="F81" i="10"/>
  <c r="G81" i="10" s="1"/>
  <c r="C99" i="10" s="1"/>
  <c r="K41" i="4" s="1"/>
  <c r="F82" i="10"/>
  <c r="G82" i="10" s="1"/>
  <c r="C100" i="10" s="1"/>
  <c r="K42" i="4" s="1"/>
  <c r="F83" i="10"/>
  <c r="G83" i="10" s="1"/>
  <c r="C101" i="10" s="1"/>
  <c r="K43" i="4" s="1"/>
  <c r="M36" i="10"/>
  <c r="M37" i="10"/>
  <c r="M40" i="10"/>
  <c r="M41" i="10"/>
  <c r="J137" i="10" l="1"/>
  <c r="H119" i="10"/>
  <c r="L136" i="10"/>
  <c r="D92" i="10"/>
  <c r="K34" i="4"/>
  <c r="D63" i="10"/>
  <c r="N41" i="10"/>
  <c r="D59" i="10"/>
  <c r="N37" i="10"/>
  <c r="D62" i="10"/>
  <c r="N40" i="10"/>
  <c r="D58" i="10"/>
  <c r="N36" i="10"/>
  <c r="M33" i="10"/>
  <c r="M39" i="10"/>
  <c r="M35" i="10"/>
  <c r="M42" i="10"/>
  <c r="M38" i="10"/>
  <c r="M34" i="10"/>
  <c r="E43" i="4" l="1"/>
  <c r="K137" i="10"/>
  <c r="D93" i="10"/>
  <c r="C13" i="5"/>
  <c r="O13" i="5" s="1"/>
  <c r="C29" i="5"/>
  <c r="O29" i="5" s="1"/>
  <c r="D64" i="10"/>
  <c r="P63" i="10" s="1"/>
  <c r="N42" i="10"/>
  <c r="D57" i="10"/>
  <c r="N35" i="10"/>
  <c r="D56" i="10"/>
  <c r="N34" i="10"/>
  <c r="D61" i="10"/>
  <c r="N39" i="10"/>
  <c r="D60" i="10"/>
  <c r="N38" i="10"/>
  <c r="N33" i="10"/>
  <c r="D55" i="10"/>
  <c r="P58" i="10" l="1"/>
  <c r="P60" i="10"/>
  <c r="P55" i="10"/>
  <c r="P54" i="10"/>
  <c r="P56" i="10"/>
  <c r="P61" i="10"/>
  <c r="P57" i="10"/>
  <c r="P59" i="10"/>
  <c r="P62" i="10"/>
  <c r="J63" i="10"/>
  <c r="J60" i="10"/>
  <c r="J57" i="10"/>
  <c r="J55" i="10"/>
  <c r="J61" i="10"/>
  <c r="J56" i="10"/>
  <c r="J58" i="10"/>
  <c r="J59" i="10"/>
  <c r="J54" i="10"/>
  <c r="J62" i="10"/>
  <c r="L137" i="10"/>
  <c r="L139" i="10" s="1"/>
  <c r="D94" i="10"/>
  <c r="C14" i="5"/>
  <c r="O14" i="5" s="1"/>
  <c r="C30" i="5"/>
  <c r="O30" i="5" s="1"/>
  <c r="N44" i="10"/>
  <c r="C17" i="7"/>
  <c r="C37" i="7" s="1"/>
  <c r="C18" i="7"/>
  <c r="C38" i="7" s="1"/>
  <c r="C19" i="7"/>
  <c r="C39" i="7" s="1"/>
  <c r="C20" i="7"/>
  <c r="C40" i="7" s="1"/>
  <c r="C21" i="7"/>
  <c r="C41" i="7" s="1"/>
  <c r="C22" i="7"/>
  <c r="C42" i="7" s="1"/>
  <c r="C23" i="7"/>
  <c r="C43" i="7" s="1"/>
  <c r="C24" i="7"/>
  <c r="C44" i="7" s="1"/>
  <c r="C25" i="7"/>
  <c r="C45" i="7" s="1"/>
  <c r="D95" i="10" l="1"/>
  <c r="C31" i="5"/>
  <c r="O31" i="5" s="1"/>
  <c r="C15" i="5"/>
  <c r="O15" i="5" s="1"/>
  <c r="B15" i="6"/>
  <c r="D17" i="7"/>
  <c r="D37" i="7" s="1"/>
  <c r="D18" i="7"/>
  <c r="D38" i="7" s="1"/>
  <c r="D19" i="7"/>
  <c r="D39" i="7" s="1"/>
  <c r="D20" i="7"/>
  <c r="D40" i="7" s="1"/>
  <c r="D21" i="7"/>
  <c r="D41" i="7" s="1"/>
  <c r="D22" i="7"/>
  <c r="D42" i="7" s="1"/>
  <c r="D23" i="7"/>
  <c r="D43" i="7" s="1"/>
  <c r="D24" i="7"/>
  <c r="D44" i="7" s="1"/>
  <c r="D25" i="7"/>
  <c r="D45" i="7" s="1"/>
  <c r="D96" i="10" l="1"/>
  <c r="C33" i="5" s="1"/>
  <c r="O33" i="5" s="1"/>
  <c r="C32" i="5"/>
  <c r="O32" i="5" s="1"/>
  <c r="C16" i="5"/>
  <c r="O16" i="5" s="1"/>
  <c r="F33" i="10"/>
  <c r="B16" i="7"/>
  <c r="B36" i="7" s="1"/>
  <c r="J14" i="4"/>
  <c r="D16" i="7"/>
  <c r="D36" i="7" s="1"/>
  <c r="E16" i="7"/>
  <c r="E36" i="7" s="1"/>
  <c r="D97" i="10" l="1"/>
  <c r="C34" i="5" s="1"/>
  <c r="O34" i="5" s="1"/>
  <c r="C17" i="5"/>
  <c r="O17" i="5" s="1"/>
  <c r="C16" i="7"/>
  <c r="C36" i="7" s="1"/>
  <c r="G16" i="7"/>
  <c r="G36" i="7" s="1"/>
  <c r="H36" i="7" l="1"/>
  <c r="H16" i="7"/>
  <c r="D98" i="10"/>
  <c r="C35" i="5" s="1"/>
  <c r="O35" i="5" s="1"/>
  <c r="C18" i="5"/>
  <c r="O18" i="5" s="1"/>
  <c r="J15" i="4"/>
  <c r="B17" i="7"/>
  <c r="B37" i="7" s="1"/>
  <c r="E17" i="7"/>
  <c r="E37" i="7" s="1"/>
  <c r="K14" i="4"/>
  <c r="C14" i="4" l="1"/>
  <c r="D99" i="10"/>
  <c r="C36" i="5" s="1"/>
  <c r="O36" i="5" s="1"/>
  <c r="C19" i="5"/>
  <c r="O19" i="5" s="1"/>
  <c r="G17" i="7"/>
  <c r="G37" i="7" s="1"/>
  <c r="S36" i="7" l="1"/>
  <c r="C34" i="4"/>
  <c r="D100" i="10"/>
  <c r="C37" i="5" s="1"/>
  <c r="O37" i="5" s="1"/>
  <c r="C20" i="5"/>
  <c r="O20" i="5" s="1"/>
  <c r="I16" i="7"/>
  <c r="I36" i="7" s="1"/>
  <c r="K15" i="4"/>
  <c r="D101" i="10" l="1"/>
  <c r="C38" i="5" s="1"/>
  <c r="O38" i="5" s="1"/>
  <c r="C21" i="5"/>
  <c r="O21" i="5" s="1"/>
  <c r="E18" i="7"/>
  <c r="E38" i="7" s="1"/>
  <c r="J16" i="4"/>
  <c r="B18" i="7"/>
  <c r="B38" i="7" s="1"/>
  <c r="J16" i="7"/>
  <c r="J36" i="7" s="1"/>
  <c r="R36" i="7" s="1"/>
  <c r="C22" i="5" l="1"/>
  <c r="O22" i="5" s="1"/>
  <c r="G18" i="7"/>
  <c r="G38" i="7" s="1"/>
  <c r="K16" i="4"/>
  <c r="E19" i="7" l="1"/>
  <c r="E39" i="7" s="1"/>
  <c r="J17" i="4"/>
  <c r="B19" i="7"/>
  <c r="B39" i="7" s="1"/>
  <c r="I17" i="7"/>
  <c r="I37" i="7" s="1"/>
  <c r="G19" i="7" l="1"/>
  <c r="G39" i="7" s="1"/>
  <c r="K17" i="4" l="1"/>
  <c r="E20" i="7"/>
  <c r="E40" i="7" s="1"/>
  <c r="J17" i="7"/>
  <c r="J37" i="7" s="1"/>
  <c r="R37" i="7" s="1"/>
  <c r="J18" i="4" l="1"/>
  <c r="B20" i="7"/>
  <c r="B40" i="7" s="1"/>
  <c r="G20" i="7" l="1"/>
  <c r="G40" i="7" s="1"/>
  <c r="K18" i="4" l="1"/>
  <c r="E21" i="7"/>
  <c r="E41" i="7" s="1"/>
  <c r="I18" i="7"/>
  <c r="I38" i="7" s="1"/>
  <c r="J19" i="4" l="1"/>
  <c r="B21" i="7"/>
  <c r="B41" i="7" s="1"/>
  <c r="J18" i="7"/>
  <c r="J38" i="7" s="1"/>
  <c r="R38" i="7" s="1"/>
  <c r="G21" i="7" l="1"/>
  <c r="G41" i="7" s="1"/>
  <c r="K19" i="4" l="1"/>
  <c r="E22" i="7"/>
  <c r="E42" i="7" s="1"/>
  <c r="I19" i="7"/>
  <c r="I39" i="7" s="1"/>
  <c r="J20" i="4" l="1"/>
  <c r="B22" i="7"/>
  <c r="B42" i="7" s="1"/>
  <c r="G22" i="7" l="1"/>
  <c r="G42" i="7" s="1"/>
  <c r="J19" i="7"/>
  <c r="J39" i="7" s="1"/>
  <c r="R39" i="7" s="1"/>
  <c r="K20" i="4" l="1"/>
  <c r="E23" i="7"/>
  <c r="E43" i="7" s="1"/>
  <c r="J21" i="4" l="1"/>
  <c r="B23" i="7"/>
  <c r="B43" i="7" s="1"/>
  <c r="G23" i="7" l="1"/>
  <c r="G43" i="7" s="1"/>
  <c r="E24" i="7"/>
  <c r="E44" i="7" s="1"/>
  <c r="K21" i="4"/>
  <c r="J22" i="4" l="1"/>
  <c r="B24" i="7"/>
  <c r="B44" i="7" s="1"/>
  <c r="I20" i="7"/>
  <c r="I40" i="7" s="1"/>
  <c r="F44" i="10" l="1"/>
  <c r="J45" i="10" s="1"/>
  <c r="G24" i="7"/>
  <c r="G44" i="7" s="1"/>
  <c r="J20" i="7"/>
  <c r="J40" i="7" s="1"/>
  <c r="R40" i="7" s="1"/>
  <c r="H45" i="10" l="1"/>
  <c r="N45" i="10"/>
  <c r="F47" i="10" s="1"/>
  <c r="K22" i="4"/>
  <c r="E25" i="7"/>
  <c r="E45" i="7" s="1"/>
  <c r="I21" i="7"/>
  <c r="I41" i="7" s="1"/>
  <c r="J23" i="4" l="1"/>
  <c r="B25" i="7"/>
  <c r="B45" i="7" s="1"/>
  <c r="B58" i="10" l="1"/>
  <c r="B62" i="10"/>
  <c r="B59" i="10"/>
  <c r="B63" i="10"/>
  <c r="B56" i="10"/>
  <c r="B60" i="10"/>
  <c r="B64" i="10"/>
  <c r="B57" i="10"/>
  <c r="O56" i="10" s="1"/>
  <c r="B61" i="10"/>
  <c r="B55" i="10"/>
  <c r="G25" i="7"/>
  <c r="G45" i="7" s="1"/>
  <c r="J21" i="7"/>
  <c r="J41" i="7" s="1"/>
  <c r="O55" i="10" l="1"/>
  <c r="R55" i="10" s="1"/>
  <c r="O58" i="10"/>
  <c r="O63" i="10"/>
  <c r="R63" i="10" s="1"/>
  <c r="O62" i="10"/>
  <c r="R62" i="10" s="1"/>
  <c r="O61" i="10"/>
  <c r="R61" i="10" s="1"/>
  <c r="O59" i="10"/>
  <c r="R59" i="10" s="1"/>
  <c r="O54" i="10"/>
  <c r="O60" i="10"/>
  <c r="R60" i="10" s="1"/>
  <c r="O57" i="10"/>
  <c r="R57" i="10" s="1"/>
  <c r="I58" i="10"/>
  <c r="L58" i="10" s="1"/>
  <c r="Q32" i="5" s="1"/>
  <c r="R58" i="10"/>
  <c r="I56" i="10"/>
  <c r="L56" i="10" s="1"/>
  <c r="Q30" i="5" s="1"/>
  <c r="R56" i="10"/>
  <c r="C55" i="10"/>
  <c r="F55" i="10" s="1"/>
  <c r="I54" i="10"/>
  <c r="M133" i="10"/>
  <c r="I59" i="10"/>
  <c r="L59" i="10" s="1"/>
  <c r="C153" i="10" s="1"/>
  <c r="M135" i="10"/>
  <c r="I61" i="10"/>
  <c r="L61" i="10" s="1"/>
  <c r="C155" i="10" s="1"/>
  <c r="M136" i="10"/>
  <c r="I62" i="10"/>
  <c r="L62" i="10" s="1"/>
  <c r="C156" i="10" s="1"/>
  <c r="M137" i="10"/>
  <c r="I63" i="10"/>
  <c r="L63" i="10" s="1"/>
  <c r="C157" i="10" s="1"/>
  <c r="M134" i="10"/>
  <c r="I60" i="10"/>
  <c r="L60" i="10" s="1"/>
  <c r="C154" i="10" s="1"/>
  <c r="I55" i="10"/>
  <c r="L55" i="10" s="1"/>
  <c r="Q29" i="5" s="1"/>
  <c r="I57" i="10"/>
  <c r="L57" i="10" s="1"/>
  <c r="Q31" i="5" s="1"/>
  <c r="K23" i="4"/>
  <c r="N136" i="10" l="1"/>
  <c r="Q34" i="5"/>
  <c r="B154" i="10"/>
  <c r="Q33" i="5"/>
  <c r="B153" i="10"/>
  <c r="Q37" i="5"/>
  <c r="B157" i="10"/>
  <c r="Q35" i="5"/>
  <c r="B155" i="10"/>
  <c r="Q36" i="5"/>
  <c r="B156" i="10"/>
  <c r="C56" i="10"/>
  <c r="N137" i="10"/>
  <c r="N135" i="10"/>
  <c r="N134" i="10"/>
  <c r="N133" i="10"/>
  <c r="F29" i="5"/>
  <c r="J41" i="4"/>
  <c r="J40" i="4"/>
  <c r="J42" i="4"/>
  <c r="J39" i="4"/>
  <c r="J43" i="4"/>
  <c r="F34" i="4"/>
  <c r="L34" i="4" s="1"/>
  <c r="K36" i="7" s="1"/>
  <c r="L36" i="7" s="1"/>
  <c r="H37" i="7" s="1"/>
  <c r="F14" i="4"/>
  <c r="L14" i="4" s="1"/>
  <c r="C15" i="6" s="1"/>
  <c r="F13" i="5"/>
  <c r="Q13" i="5" s="1"/>
  <c r="N139" i="10" l="1"/>
  <c r="N140" i="10" s="1"/>
  <c r="F37" i="5"/>
  <c r="D157" i="10"/>
  <c r="O43" i="4" s="1"/>
  <c r="F33" i="5"/>
  <c r="D153" i="10"/>
  <c r="D155" i="10"/>
  <c r="F35" i="5"/>
  <c r="F36" i="5"/>
  <c r="D156" i="10"/>
  <c r="D154" i="10"/>
  <c r="F34" i="5"/>
  <c r="R41" i="7"/>
  <c r="K16" i="7"/>
  <c r="F56" i="10"/>
  <c r="I22" i="7"/>
  <c r="I42" i="7" s="1"/>
  <c r="O41" i="4" l="1"/>
  <c r="O42" i="4"/>
  <c r="O38" i="4"/>
  <c r="O39" i="4"/>
  <c r="D15" i="6"/>
  <c r="E15" i="6" s="1"/>
  <c r="B16" i="6" s="1"/>
  <c r="D33" i="6"/>
  <c r="O40" i="4"/>
  <c r="C57" i="10"/>
  <c r="F57" i="10" s="1"/>
  <c r="F30" i="5"/>
  <c r="F35" i="4"/>
  <c r="L16" i="7"/>
  <c r="F14" i="5"/>
  <c r="Q14" i="5" s="1"/>
  <c r="F15" i="4"/>
  <c r="T36" i="7" l="1"/>
  <c r="U36" i="7" s="1"/>
  <c r="C58" i="10"/>
  <c r="F58" i="10" s="1"/>
  <c r="B13" i="5"/>
  <c r="H17" i="7"/>
  <c r="F31" i="5"/>
  <c r="F36" i="4"/>
  <c r="N36" i="7"/>
  <c r="F16" i="4"/>
  <c r="F15" i="5"/>
  <c r="Q15" i="5" s="1"/>
  <c r="J22" i="7"/>
  <c r="J42" i="7" s="1"/>
  <c r="R42" i="7" s="1"/>
  <c r="C15" i="4" l="1"/>
  <c r="L15" i="4" s="1"/>
  <c r="C16" i="6" s="1"/>
  <c r="C59" i="10"/>
  <c r="F59" i="10" s="1"/>
  <c r="D13" i="5"/>
  <c r="N13" i="5"/>
  <c r="F32" i="5"/>
  <c r="N34" i="4"/>
  <c r="F37" i="4"/>
  <c r="O36" i="7"/>
  <c r="F16" i="5"/>
  <c r="Q16" i="5" s="1"/>
  <c r="F17" i="4"/>
  <c r="C60" i="10" l="1"/>
  <c r="K17" i="7"/>
  <c r="L17" i="7" s="1"/>
  <c r="S37" i="7"/>
  <c r="C35" i="4"/>
  <c r="L35" i="4" s="1"/>
  <c r="K37" i="7" s="1"/>
  <c r="L37" i="7" s="1"/>
  <c r="H38" i="7" s="1"/>
  <c r="H13" i="5"/>
  <c r="P13" i="5"/>
  <c r="B29" i="5"/>
  <c r="W36" i="7"/>
  <c r="P34" i="4"/>
  <c r="F18" i="4"/>
  <c r="F38" i="4"/>
  <c r="F60" i="10"/>
  <c r="F17" i="5"/>
  <c r="Q17" i="5" s="1"/>
  <c r="D16" i="6" l="1"/>
  <c r="E16" i="6" s="1"/>
  <c r="B17" i="6" s="1"/>
  <c r="D34" i="6"/>
  <c r="C61" i="10"/>
  <c r="F61" i="10" s="1"/>
  <c r="T37" i="7"/>
  <c r="U37" i="7" s="1"/>
  <c r="D29" i="5"/>
  <c r="N29" i="5"/>
  <c r="B14" i="5"/>
  <c r="H18" i="7"/>
  <c r="Q34" i="4"/>
  <c r="C33" i="6" s="1"/>
  <c r="E33" i="6" s="1"/>
  <c r="B34" i="6" s="1"/>
  <c r="F19" i="4"/>
  <c r="F39" i="4"/>
  <c r="N37" i="7"/>
  <c r="O37" i="7" s="1"/>
  <c r="F18" i="5"/>
  <c r="Q18" i="5" s="1"/>
  <c r="C62" i="10" l="1"/>
  <c r="C16" i="4"/>
  <c r="L16" i="4" s="1"/>
  <c r="K18" i="7" s="1"/>
  <c r="L18" i="7" s="1"/>
  <c r="D14" i="5"/>
  <c r="N14" i="5"/>
  <c r="H29" i="5"/>
  <c r="P29" i="5"/>
  <c r="R29" i="5" s="1"/>
  <c r="B30" i="5"/>
  <c r="W37" i="7"/>
  <c r="F20" i="4"/>
  <c r="N35" i="4"/>
  <c r="F40" i="4"/>
  <c r="F62" i="10"/>
  <c r="F19" i="5"/>
  <c r="Q19" i="5" s="1"/>
  <c r="I23" i="7"/>
  <c r="I43" i="7" s="1"/>
  <c r="C17" i="6" l="1"/>
  <c r="C63" i="10"/>
  <c r="S38" i="7"/>
  <c r="C36" i="4"/>
  <c r="L36" i="4" s="1"/>
  <c r="D17" i="6"/>
  <c r="D30" i="5"/>
  <c r="N30" i="5"/>
  <c r="H14" i="5"/>
  <c r="P14" i="5"/>
  <c r="H19" i="7"/>
  <c r="P35" i="4"/>
  <c r="F41" i="4"/>
  <c r="B15" i="5"/>
  <c r="F63" i="10"/>
  <c r="F20" i="5"/>
  <c r="Q20" i="5" s="1"/>
  <c r="F21" i="4"/>
  <c r="J23" i="7"/>
  <c r="J43" i="7" s="1"/>
  <c r="R43" i="7" s="1"/>
  <c r="E17" i="6" l="1"/>
  <c r="B18" i="6" s="1"/>
  <c r="K38" i="7"/>
  <c r="L38" i="7" s="1"/>
  <c r="H39" i="7" s="1"/>
  <c r="C64" i="10"/>
  <c r="F64" i="10" s="1"/>
  <c r="C17" i="4"/>
  <c r="L17" i="4" s="1"/>
  <c r="K19" i="7" s="1"/>
  <c r="T38" i="7"/>
  <c r="U38" i="7" s="1"/>
  <c r="D15" i="5"/>
  <c r="N15" i="5"/>
  <c r="H30" i="5"/>
  <c r="P30" i="5"/>
  <c r="R30" i="5" s="1"/>
  <c r="Q35" i="4"/>
  <c r="C34" i="6" s="1"/>
  <c r="E34" i="6" s="1"/>
  <c r="B35" i="6" s="1"/>
  <c r="F22" i="4"/>
  <c r="F42" i="4"/>
  <c r="F21" i="5"/>
  <c r="Q21" i="5" s="1"/>
  <c r="D35" i="6" l="1"/>
  <c r="N38" i="7"/>
  <c r="N36" i="4" s="1"/>
  <c r="S39" i="7"/>
  <c r="C37" i="4"/>
  <c r="L37" i="4" s="1"/>
  <c r="K39" i="7" s="1"/>
  <c r="L39" i="7" s="1"/>
  <c r="H40" i="7" s="1"/>
  <c r="C18" i="6"/>
  <c r="F43" i="4"/>
  <c r="L19" i="7"/>
  <c r="B16" i="5" s="1"/>
  <c r="D18" i="6"/>
  <c r="E18" i="6" s="1"/>
  <c r="B19" i="6" s="1"/>
  <c r="H15" i="5"/>
  <c r="P15" i="5"/>
  <c r="F22" i="5"/>
  <c r="Q22" i="5" s="1"/>
  <c r="O45" i="4"/>
  <c r="F23" i="4"/>
  <c r="O38" i="7" l="1"/>
  <c r="D36" i="6"/>
  <c r="H20" i="7"/>
  <c r="D16" i="5"/>
  <c r="N16" i="5"/>
  <c r="B31" i="5"/>
  <c r="W38" i="7"/>
  <c r="T39" i="7"/>
  <c r="U39" i="7" s="1"/>
  <c r="P36" i="4"/>
  <c r="S40" i="7" l="1"/>
  <c r="C18" i="4"/>
  <c r="L18" i="4" s="1"/>
  <c r="D31" i="5"/>
  <c r="N31" i="5"/>
  <c r="H16" i="5"/>
  <c r="P16" i="5"/>
  <c r="Q36" i="4"/>
  <c r="C35" i="6" s="1"/>
  <c r="E35" i="6" s="1"/>
  <c r="B36" i="6" s="1"/>
  <c r="N39" i="7"/>
  <c r="O39" i="7" s="1"/>
  <c r="C38" i="4"/>
  <c r="L38" i="4" s="1"/>
  <c r="I24" i="7"/>
  <c r="I44" i="7" s="1"/>
  <c r="J24" i="7"/>
  <c r="J44" i="7" s="1"/>
  <c r="K40" i="7" l="1"/>
  <c r="L40" i="7" s="1"/>
  <c r="H41" i="7" s="1"/>
  <c r="R44" i="7"/>
  <c r="K20" i="7"/>
  <c r="C19" i="6"/>
  <c r="H31" i="5"/>
  <c r="P31" i="5"/>
  <c r="R31" i="5" s="1"/>
  <c r="B32" i="5"/>
  <c r="W39" i="7"/>
  <c r="N37" i="4"/>
  <c r="D37" i="6" l="1"/>
  <c r="D19" i="6"/>
  <c r="E19" i="6" s="1"/>
  <c r="B20" i="6" s="1"/>
  <c r="L20" i="7"/>
  <c r="D32" i="5"/>
  <c r="N32" i="5"/>
  <c r="T40" i="7"/>
  <c r="U40" i="7" s="1"/>
  <c r="P37" i="4"/>
  <c r="H21" i="7" l="1"/>
  <c r="N40" i="7"/>
  <c r="O40" i="7" s="1"/>
  <c r="B17" i="5"/>
  <c r="H32" i="5"/>
  <c r="P32" i="5"/>
  <c r="R32" i="5" s="1"/>
  <c r="Q37" i="4"/>
  <c r="C36" i="6" s="1"/>
  <c r="E36" i="6" s="1"/>
  <c r="B37" i="6" s="1"/>
  <c r="N17" i="5" l="1"/>
  <c r="D17" i="5"/>
  <c r="C19" i="4"/>
  <c r="L19" i="4" s="1"/>
  <c r="B33" i="5"/>
  <c r="W40" i="7"/>
  <c r="N38" i="4"/>
  <c r="I25" i="7"/>
  <c r="I45" i="7" s="1"/>
  <c r="C20" i="6" l="1"/>
  <c r="K21" i="7"/>
  <c r="S41" i="7"/>
  <c r="C39" i="4"/>
  <c r="L39" i="4" s="1"/>
  <c r="H17" i="5"/>
  <c r="P17" i="5"/>
  <c r="D33" i="5"/>
  <c r="N33" i="5"/>
  <c r="P38" i="4"/>
  <c r="J25" i="7"/>
  <c r="J45" i="7" s="1"/>
  <c r="R45" i="7" s="1"/>
  <c r="K41" i="7" l="1"/>
  <c r="L41" i="7" s="1"/>
  <c r="H42" i="7" s="1"/>
  <c r="D20" i="6"/>
  <c r="E20" i="6" s="1"/>
  <c r="B21" i="6" s="1"/>
  <c r="L21" i="7"/>
  <c r="H33" i="5"/>
  <c r="P33" i="5"/>
  <c r="R33" i="5" s="1"/>
  <c r="Q38" i="4"/>
  <c r="C37" i="6" s="1"/>
  <c r="E37" i="6" s="1"/>
  <c r="B38" i="6" s="1"/>
  <c r="H22" i="7" l="1"/>
  <c r="N41" i="7"/>
  <c r="N39" i="4" s="1"/>
  <c r="P39" i="4" s="1"/>
  <c r="Q39" i="4" s="1"/>
  <c r="C38" i="6" s="1"/>
  <c r="B18" i="5"/>
  <c r="D38" i="6"/>
  <c r="T41" i="7"/>
  <c r="U41" i="7" s="1"/>
  <c r="E38" i="6" l="1"/>
  <c r="O41" i="7"/>
  <c r="B34" i="5" s="1"/>
  <c r="N18" i="5"/>
  <c r="D18" i="5"/>
  <c r="C20" i="4"/>
  <c r="L20" i="4" s="1"/>
  <c r="B39" i="6"/>
  <c r="W41" i="7" l="1"/>
  <c r="C21" i="6"/>
  <c r="K22" i="7"/>
  <c r="S42" i="7"/>
  <c r="C40" i="4"/>
  <c r="L40" i="4" s="1"/>
  <c r="H18" i="5"/>
  <c r="P18" i="5"/>
  <c r="D34" i="5"/>
  <c r="N34" i="5"/>
  <c r="K42" i="7" l="1"/>
  <c r="L42" i="7" s="1"/>
  <c r="H43" i="7" s="1"/>
  <c r="D21" i="6"/>
  <c r="E21" i="6" s="1"/>
  <c r="B22" i="6" s="1"/>
  <c r="L22" i="7"/>
  <c r="H34" i="5"/>
  <c r="P34" i="5"/>
  <c r="R34" i="5" s="1"/>
  <c r="H23" i="7" l="1"/>
  <c r="B19" i="5"/>
  <c r="D39" i="6"/>
  <c r="T42" i="7"/>
  <c r="U42" i="7" s="1"/>
  <c r="D19" i="5" l="1"/>
  <c r="N19" i="5"/>
  <c r="N42" i="7"/>
  <c r="N40" i="4" s="1"/>
  <c r="P40" i="4" s="1"/>
  <c r="Q40" i="4" s="1"/>
  <c r="C39" i="6" s="1"/>
  <c r="E39" i="6" s="1"/>
  <c r="B40" i="6" s="1"/>
  <c r="C21" i="4"/>
  <c r="L21" i="4" s="1"/>
  <c r="O42" i="7" l="1"/>
  <c r="B35" i="5" s="1"/>
  <c r="S43" i="7"/>
  <c r="C41" i="4"/>
  <c r="L41" i="4" s="1"/>
  <c r="K23" i="7"/>
  <c r="C22" i="6"/>
  <c r="H19" i="5"/>
  <c r="P19" i="5"/>
  <c r="W42" i="7" l="1"/>
  <c r="K43" i="7"/>
  <c r="L43" i="7" s="1"/>
  <c r="H44" i="7" s="1"/>
  <c r="N35" i="5"/>
  <c r="D35" i="5"/>
  <c r="D22" i="6"/>
  <c r="E22" i="6" s="1"/>
  <c r="B23" i="6" s="1"/>
  <c r="L23" i="7"/>
  <c r="H24" i="7" l="1"/>
  <c r="N43" i="7"/>
  <c r="B20" i="5"/>
  <c r="D40" i="6"/>
  <c r="T43" i="7"/>
  <c r="U43" i="7" s="1"/>
  <c r="H35" i="5"/>
  <c r="P35" i="5"/>
  <c r="R35" i="5" s="1"/>
  <c r="D20" i="5" l="1"/>
  <c r="N20" i="5"/>
  <c r="O43" i="7"/>
  <c r="N41" i="4"/>
  <c r="P41" i="4" s="1"/>
  <c r="Q41" i="4" s="1"/>
  <c r="C40" i="6" s="1"/>
  <c r="E40" i="6" s="1"/>
  <c r="B41" i="6" s="1"/>
  <c r="C22" i="4"/>
  <c r="L22" i="4" s="1"/>
  <c r="K24" i="7" l="1"/>
  <c r="C23" i="6"/>
  <c r="S44" i="7"/>
  <c r="C42" i="4"/>
  <c r="L42" i="4" s="1"/>
  <c r="B36" i="5"/>
  <c r="W43" i="7"/>
  <c r="H20" i="5"/>
  <c r="P20" i="5"/>
  <c r="K44" i="7" l="1"/>
  <c r="L44" i="7" s="1"/>
  <c r="H45" i="7" s="1"/>
  <c r="N36" i="5"/>
  <c r="D36" i="5"/>
  <c r="D23" i="6"/>
  <c r="E23" i="6" s="1"/>
  <c r="B24" i="6" s="1"/>
  <c r="L24" i="7"/>
  <c r="H25" i="7" l="1"/>
  <c r="N44" i="7"/>
  <c r="B21" i="5"/>
  <c r="D41" i="6"/>
  <c r="T44" i="7"/>
  <c r="U44" i="7" s="1"/>
  <c r="H36" i="5"/>
  <c r="P36" i="5"/>
  <c r="R36" i="5" s="1"/>
  <c r="O44" i="7" l="1"/>
  <c r="N42" i="4"/>
  <c r="P42" i="4" s="1"/>
  <c r="Q42" i="4" s="1"/>
  <c r="C41" i="6" s="1"/>
  <c r="E41" i="6" s="1"/>
  <c r="B42" i="6" s="1"/>
  <c r="D21" i="5"/>
  <c r="N21" i="5"/>
  <c r="C23" i="4"/>
  <c r="L23" i="4" s="1"/>
  <c r="K25" i="7" l="1"/>
  <c r="C24" i="6"/>
  <c r="S45" i="7"/>
  <c r="C43" i="4"/>
  <c r="L43" i="4" s="1"/>
  <c r="K45" i="7" s="1"/>
  <c r="L45" i="7" s="1"/>
  <c r="H21" i="5"/>
  <c r="P21" i="5"/>
  <c r="B37" i="5"/>
  <c r="W44" i="7"/>
  <c r="D37" i="5" l="1"/>
  <c r="N37" i="5"/>
  <c r="D24" i="6"/>
  <c r="E24" i="6" s="1"/>
  <c r="L25" i="7"/>
  <c r="B22" i="5" l="1"/>
  <c r="D42" i="6"/>
  <c r="T45" i="7"/>
  <c r="U45" i="7" s="1"/>
  <c r="H37" i="5"/>
  <c r="P37" i="5"/>
  <c r="R37" i="5" s="1"/>
  <c r="N45" i="7" l="1"/>
  <c r="N43" i="4" s="1"/>
  <c r="N22" i="5"/>
  <c r="D22" i="5"/>
  <c r="O45" i="7" l="1"/>
  <c r="B38" i="5" s="1"/>
  <c r="H22" i="5"/>
  <c r="P22" i="5"/>
  <c r="P43" i="4"/>
  <c r="N45" i="4"/>
  <c r="W45" i="7" l="1"/>
  <c r="Q43" i="4"/>
  <c r="C42" i="6" s="1"/>
  <c r="E42" i="6" s="1"/>
  <c r="P45" i="4"/>
  <c r="D38" i="5"/>
  <c r="N38" i="5"/>
  <c r="H38" i="5" l="1"/>
  <c r="P38" i="5"/>
  <c r="R38" i="5" s="1"/>
</calcChain>
</file>

<file path=xl/sharedStrings.xml><?xml version="1.0" encoding="utf-8"?>
<sst xmlns="http://schemas.openxmlformats.org/spreadsheetml/2006/main" count="557" uniqueCount="182">
  <si>
    <t xml:space="preserve">Policy </t>
  </si>
  <si>
    <t>Year</t>
  </si>
  <si>
    <t>Mortality</t>
  </si>
  <si>
    <t>Rate</t>
  </si>
  <si>
    <t>Premium</t>
  </si>
  <si>
    <t>Expense</t>
  </si>
  <si>
    <t>Commission</t>
  </si>
  <si>
    <t>Investment</t>
  </si>
  <si>
    <t>Income</t>
  </si>
  <si>
    <t>Maintenance</t>
  </si>
  <si>
    <t>Acquisition</t>
  </si>
  <si>
    <t>Surrender</t>
  </si>
  <si>
    <t>GAAP</t>
  </si>
  <si>
    <t>DAC</t>
  </si>
  <si>
    <t>Assets</t>
  </si>
  <si>
    <t>Equity</t>
  </si>
  <si>
    <t>Shareholder</t>
  </si>
  <si>
    <t>Dividend</t>
  </si>
  <si>
    <t>Total</t>
  </si>
  <si>
    <t>Amortization</t>
  </si>
  <si>
    <t>Input</t>
  </si>
  <si>
    <t>Number of policies</t>
  </si>
  <si>
    <t>Account</t>
  </si>
  <si>
    <t>General</t>
  </si>
  <si>
    <t>Yield</t>
  </si>
  <si>
    <t>Deferrable</t>
  </si>
  <si>
    <t>Per Policy</t>
  </si>
  <si>
    <t>Acquistion</t>
  </si>
  <si>
    <t>Defble Acq</t>
  </si>
  <si>
    <t>Actuarial balances</t>
  </si>
  <si>
    <t>End of</t>
  </si>
  <si>
    <t>Policies</t>
  </si>
  <si>
    <t>Deaths</t>
  </si>
  <si>
    <t>Surrenders</t>
  </si>
  <si>
    <t>Census</t>
  </si>
  <si>
    <t>End of year</t>
  </si>
  <si>
    <t>Non-Commission</t>
  </si>
  <si>
    <t>Expenses</t>
  </si>
  <si>
    <t>DAC rollforward</t>
  </si>
  <si>
    <t>Deferrals</t>
  </si>
  <si>
    <t>Income Statement</t>
  </si>
  <si>
    <t>Non-defble</t>
  </si>
  <si>
    <t>General Acct</t>
  </si>
  <si>
    <t>Death</t>
  </si>
  <si>
    <t>Benefits</t>
  </si>
  <si>
    <t>in Reserve</t>
  </si>
  <si>
    <t>Net</t>
  </si>
  <si>
    <t>Non-defbl</t>
  </si>
  <si>
    <t>Invested asset rollforward</t>
  </si>
  <si>
    <t>General account asset rollforward</t>
  </si>
  <si>
    <t>Dividends</t>
  </si>
  <si>
    <t>Invested</t>
  </si>
  <si>
    <t>Balance sheet</t>
  </si>
  <si>
    <t>Liabilities</t>
  </si>
  <si>
    <t>GAAP Equity Rollforward</t>
  </si>
  <si>
    <t xml:space="preserve">Beg of </t>
  </si>
  <si>
    <t xml:space="preserve">Premium </t>
  </si>
  <si>
    <t>Tax</t>
  </si>
  <si>
    <t>Per Unit</t>
  </si>
  <si>
    <t>Net Inv</t>
  </si>
  <si>
    <t>Cash Value</t>
  </si>
  <si>
    <t>Discount</t>
  </si>
  <si>
    <t>Reserve</t>
  </si>
  <si>
    <t>Change</t>
  </si>
  <si>
    <t>Interest</t>
  </si>
  <si>
    <t>Average units per policy</t>
  </si>
  <si>
    <t>Units</t>
  </si>
  <si>
    <t>Net Premium Determination</t>
  </si>
  <si>
    <t>Factor</t>
  </si>
  <si>
    <t>PV Premium</t>
  </si>
  <si>
    <t>Interest Rate</t>
  </si>
  <si>
    <t>B.O.Y.</t>
  </si>
  <si>
    <t>.EO.Y.</t>
  </si>
  <si>
    <t>PV</t>
  </si>
  <si>
    <t>Number of</t>
  </si>
  <si>
    <t>Unit</t>
  </si>
  <si>
    <t>PV Total</t>
  </si>
  <si>
    <t>Total Present Value</t>
  </si>
  <si>
    <t>As a percent of PV Premiums</t>
  </si>
  <si>
    <t>Net premium / Gross premium</t>
  </si>
  <si>
    <t>Net Premium</t>
  </si>
  <si>
    <t>Required</t>
  </si>
  <si>
    <t>E.O.Y.</t>
  </si>
  <si>
    <t>As of issue date</t>
  </si>
  <si>
    <t>Sum</t>
  </si>
  <si>
    <t>During</t>
  </si>
  <si>
    <t>of deferrable</t>
  </si>
  <si>
    <t>Percent</t>
  </si>
  <si>
    <t>expenses</t>
  </si>
  <si>
    <t>BV assets</t>
  </si>
  <si>
    <t>Year End 5 Reserve Determination</t>
  </si>
  <si>
    <t>PV Net</t>
  </si>
  <si>
    <t>Reserve calculation (retrospective method) for income statement</t>
  </si>
  <si>
    <t>On Balance</t>
  </si>
  <si>
    <t>Sheet</t>
  </si>
  <si>
    <t>Less</t>
  </si>
  <si>
    <t>Above</t>
  </si>
  <si>
    <t>Shadow</t>
  </si>
  <si>
    <t>Reserves</t>
  </si>
  <si>
    <t>Gains on</t>
  </si>
  <si>
    <t>Other</t>
  </si>
  <si>
    <t>Comprehensive</t>
  </si>
  <si>
    <t>Equals</t>
  </si>
  <si>
    <t>Yield curve increase of 1% end of year 5, incorporating OCI</t>
  </si>
  <si>
    <t>Book Value</t>
  </si>
  <si>
    <t>Unrealized</t>
  </si>
  <si>
    <t>Gain</t>
  </si>
  <si>
    <t>Gain /</t>
  </si>
  <si>
    <t>Market Value</t>
  </si>
  <si>
    <t>Increase in</t>
  </si>
  <si>
    <t>Per Death</t>
  </si>
  <si>
    <t xml:space="preserve">Claim </t>
  </si>
  <si>
    <t>Claim</t>
  </si>
  <si>
    <t xml:space="preserve"> </t>
  </si>
  <si>
    <t>Reserve calculation (prospective method)</t>
  </si>
  <si>
    <t>Policy</t>
  </si>
  <si>
    <t xml:space="preserve">PV of </t>
  </si>
  <si>
    <t>PV of Claims</t>
  </si>
  <si>
    <t xml:space="preserve">E.O.Y </t>
  </si>
  <si>
    <t>Net Premiums</t>
  </si>
  <si>
    <t>Cash Infusion</t>
  </si>
  <si>
    <t>(Dividends)</t>
  </si>
  <si>
    <t>Invested Assets</t>
  </si>
  <si>
    <t>(end of year)</t>
  </si>
  <si>
    <t>Cash</t>
  </si>
  <si>
    <t>Flows</t>
  </si>
  <si>
    <t>Fair Value</t>
  </si>
  <si>
    <t>Value</t>
  </si>
  <si>
    <t>Fair</t>
  </si>
  <si>
    <t>Adjustment</t>
  </si>
  <si>
    <t>(Book Value)</t>
  </si>
  <si>
    <t>(at locked-in</t>
  </si>
  <si>
    <t>discount rate)</t>
  </si>
  <si>
    <t xml:space="preserve">Retained </t>
  </si>
  <si>
    <t>Earnings</t>
  </si>
  <si>
    <t>(Fair Value)</t>
  </si>
  <si>
    <t>(at current</t>
  </si>
  <si>
    <t>Reserves, recalculated @ 5%</t>
  </si>
  <si>
    <t>Shadow reserve calculation</t>
  </si>
  <si>
    <t>Present Value of Benefits and Claim Expenses Less Present Value of Net Premiums</t>
  </si>
  <si>
    <t>Table 5-30</t>
  </si>
  <si>
    <t>Table 5-31 Invested assets</t>
  </si>
  <si>
    <t>Table 5-32</t>
  </si>
  <si>
    <t>(Table 5-29 in text derived from year 5 figures below)</t>
  </si>
  <si>
    <t>Table 5-33 Retained earnings</t>
  </si>
  <si>
    <t>Table 5-34 Equity</t>
  </si>
  <si>
    <t>Society of Actuaries</t>
  </si>
  <si>
    <t>US GAAP for Insurers - 3rd edition</t>
  </si>
  <si>
    <t>Product Type</t>
  </si>
  <si>
    <t>Nonparticipating Traditional Life Insurance</t>
  </si>
  <si>
    <t>Disclaimer</t>
  </si>
  <si>
    <t>Copyright © 2024 by the Society of Actuaries. All rights reserved.</t>
  </si>
  <si>
    <t>This material is provided for informational and educational purposes only. Neither the Society of Actuaries nor the respective authors’ employers make any endorsement, representation or guarantee</t>
  </si>
  <si>
    <t>with regard to any content, and disclaim any liability in connection with the use or misuse of any information provided herein. This publication should not be construed as professional or financial advice.</t>
  </si>
  <si>
    <t>Statements of fact and opinions expressed herein are those of the individual authors and are not necessarily those of the Society of Actuaries or the respective authors’ employers.</t>
  </si>
  <si>
    <t>Generally</t>
  </si>
  <si>
    <t>As a general rule, the spreadsheets are formatted as follows:</t>
  </si>
  <si>
    <t>Table numbers, where applicable, are consistent with the numbers in the book.</t>
  </si>
  <si>
    <t>There are level premiums.</t>
  </si>
  <si>
    <t>There is a scheduled cash value to the policyholder on policy surrender.</t>
  </si>
  <si>
    <t>Modeling Scenarios</t>
  </si>
  <si>
    <t xml:space="preserve">Two scenarios are presented in the following tabs. </t>
  </si>
  <si>
    <t>This spreadsheet is not intended to be a financial reporting or valuation system.  It was developed solely for the purpose of constructing numerical examples for the text and is not suitable for any other application.</t>
  </si>
  <si>
    <t>Product Characteristics</t>
  </si>
  <si>
    <t>The product modeled is a 10-year endowment policy.  There is a fixed face amount, payable at death or the end of the endowment period, if the policyholder survives.</t>
  </si>
  <si>
    <t>Modeling Assumptions</t>
  </si>
  <si>
    <t>For simplicity, dividends paid to shareholders are assumed to be the full amount of GAAP profits earned during the period.</t>
  </si>
  <si>
    <t>Premiums, commissions, acquisition and maintenance expenses are assumed to be paid at the beginning of the policy year.</t>
  </si>
  <si>
    <t>Deaths, claim expenses, and lapses are assumed to occur at the end of the policy year.</t>
  </si>
  <si>
    <t>The modeled policies represent a cohort of 1,000 policies issued.  Each policy is insured for 100 units, where each unit equals 1,000 of face amount.</t>
  </si>
  <si>
    <t>1) As of issue date: Represents the base case scenario, where experience develops as originally expected.</t>
  </si>
  <si>
    <t>Yield curve increase of 1% at the end of year 5</t>
  </si>
  <si>
    <t>Yield curve increase of 1% at the end of year 5 - OCI impacts for reserves</t>
  </si>
  <si>
    <t>Yield curve increase of 1% at the end of year 5, incorporating unrealized gains</t>
  </si>
  <si>
    <t>Yield curve increase of 1% at the end of year 5, incorporating OCI</t>
  </si>
  <si>
    <t>Hard-coded / assumption inputs have text colored blue.</t>
  </si>
  <si>
    <t>Formulas have text colored black.</t>
  </si>
  <si>
    <t>Version: 2024 04</t>
  </si>
  <si>
    <t>2) Yield curve increases 1% at the end of year 5: This illustrates the reserve change, which impacts the balance sheet but not the income statement.</t>
  </si>
  <si>
    <r>
      <t xml:space="preserve">This spreadsheet supports numerical examples in the text </t>
    </r>
    <r>
      <rPr>
        <i/>
        <sz val="11"/>
        <rFont val="Calibri"/>
        <family val="2"/>
        <scheme val="minor"/>
      </rPr>
      <t>US GAAP for Insurers—3rd edition</t>
    </r>
    <r>
      <rPr>
        <sz val="11"/>
        <rFont val="Calibri"/>
        <family val="2"/>
        <scheme val="minor"/>
      </rPr>
      <t xml:space="preserve">.  We encourage the user to refer to the text in conjunction with this spreadsheet.  </t>
    </r>
  </si>
  <si>
    <t>Users should use any information from the spreadsheet at their own risk.</t>
  </si>
  <si>
    <r>
      <t xml:space="preserve">Neither the authors of </t>
    </r>
    <r>
      <rPr>
        <i/>
        <sz val="11"/>
        <rFont val="Calibri"/>
        <family val="2"/>
        <scheme val="minor"/>
      </rPr>
      <t>US GAAP for Insurers—3rd edition</t>
    </r>
    <r>
      <rPr>
        <sz val="11"/>
        <rFont val="Calibri"/>
        <family val="2"/>
        <scheme val="minor"/>
      </rPr>
      <t xml:space="preserve"> nor the Society of Actuaries are available to answer questions regarding the spreadsheets.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</si>
</sst>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0.0%"/>
    <numFmt numFmtId="165" formatCode="_(* #,##0_);_(* \(#,##0\);_(* &quot;-&quot;??_);_(@_)"/>
    <numFmt numFmtId="166" formatCode="_(* #,##0.0_);_(* \(#,##0.0\);_(* &quot;-&quot;??_);_(@_)"/>
    <numFmt numFmtId="167" formatCode="_(* #,##0.0000_);_(* \(#,##0.0000\);_(* &quot;-&quot;??_);_(@_)"/>
    <numFmt numFmtId="168" formatCode="_(* #,##0_);_(* \(#,##0\);_(* &quot;-&quot;?_);_(@_)"/>
    <numFmt numFmtId="169" formatCode="0.0000"/>
    <numFmt numFmtId="170" formatCode="0.00000"/>
    <numFmt numFmtId="171" formatCode="0.000%"/>
  </numFmts>
  <fonts count="15" x14ac:knownFonts="1">
    <font>
      <sz val="11"/>
      <color theme="1"/>
      <name val="Calibri"/>
      <family val="2"/>
      <scheme val="minor"/>
    </font>
    <font>
      <sz val="11"/>
      <color theme="1"/>
      <name val="Calibri"/>
      <family val="2"/>
      <scheme val="minor"/>
    </font>
    <font>
      <b/>
      <sz val="11"/>
      <color theme="1"/>
      <name val="Calibri"/>
      <family val="2"/>
      <scheme val="minor"/>
    </font>
    <font>
      <u/>
      <sz val="11"/>
      <color theme="1"/>
      <name val="Calibri"/>
      <family val="2"/>
      <scheme val="minor"/>
    </font>
    <font>
      <u val="singleAccounting"/>
      <sz val="11"/>
      <color theme="1"/>
      <name val="Calibri"/>
      <family val="2"/>
      <scheme val="minor"/>
    </font>
    <font>
      <sz val="11"/>
      <color rgb="FFFF0000"/>
      <name val="Calibri"/>
      <family val="2"/>
      <scheme val="minor"/>
    </font>
    <font>
      <sz val="10"/>
      <name val="Arial"/>
      <family val="2"/>
    </font>
    <font>
      <b/>
      <i/>
      <sz val="11"/>
      <color rgb="FFFF0000"/>
      <name val="Calibri"/>
      <family val="2"/>
      <scheme val="minor"/>
    </font>
    <font>
      <b/>
      <sz val="11"/>
      <color rgb="FFFF0000"/>
      <name val="Calibri"/>
      <family val="2"/>
      <scheme val="minor"/>
    </font>
    <font>
      <sz val="11"/>
      <name val="Calibri"/>
      <family val="2"/>
      <scheme val="minor"/>
    </font>
    <font>
      <b/>
      <sz val="11"/>
      <name val="Calibri"/>
      <family val="2"/>
      <scheme val="minor"/>
    </font>
    <font>
      <sz val="11"/>
      <color rgb="FF0070C0"/>
      <name val="Calibri"/>
      <family val="2"/>
      <scheme val="minor"/>
    </font>
    <font>
      <i/>
      <sz val="11"/>
      <name val="Calibri"/>
      <family val="2"/>
      <scheme val="minor"/>
    </font>
    <font>
      <b/>
      <sz val="11"/>
      <color theme="5" tint="-0.249977111117893"/>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right style="thin">
        <color indexed="64"/>
      </right>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6" fillId="0" borderId="0"/>
  </cellStyleXfs>
  <cellXfs count="95">
    <xf numFmtId="0" fontId="0" fillId="0" borderId="0" xfId="0"/>
    <xf numFmtId="0" fontId="2" fillId="0" borderId="0" xfId="0" applyFont="1"/>
    <xf numFmtId="0" fontId="3" fillId="0" borderId="0" xfId="0" applyFont="1" applyAlignment="1">
      <alignment horizontal="right"/>
    </xf>
    <xf numFmtId="0" fontId="3" fillId="0" borderId="0" xfId="0" applyFont="1"/>
    <xf numFmtId="0" fontId="2" fillId="0" borderId="0" xfId="0" quotePrefix="1" applyFont="1"/>
    <xf numFmtId="0" fontId="3" fillId="0" borderId="0" xfId="0" applyFont="1" applyAlignment="1">
      <alignment horizontal="left"/>
    </xf>
    <xf numFmtId="165" fontId="4" fillId="0" borderId="0" xfId="0" applyNumberFormat="1" applyFont="1" applyAlignment="1">
      <alignment horizontal="right"/>
    </xf>
    <xf numFmtId="0" fontId="4" fillId="0" borderId="0" xfId="0" applyFont="1" applyAlignment="1">
      <alignment horizontal="right"/>
    </xf>
    <xf numFmtId="10" fontId="3" fillId="0" borderId="0" xfId="2" applyNumberFormat="1" applyFont="1" applyAlignment="1">
      <alignment horizontal="right"/>
    </xf>
    <xf numFmtId="164" fontId="5" fillId="0" borderId="0" xfId="0" applyNumberFormat="1" applyFont="1"/>
    <xf numFmtId="0" fontId="2" fillId="0" borderId="0" xfId="0" applyFont="1" applyAlignment="1">
      <alignment horizontal="center"/>
    </xf>
    <xf numFmtId="0" fontId="7" fillId="0" borderId="0" xfId="0" applyFont="1"/>
    <xf numFmtId="0" fontId="1" fillId="0" borderId="0" xfId="0" applyFont="1"/>
    <xf numFmtId="0" fontId="8" fillId="0" borderId="0" xfId="3" applyFont="1"/>
    <xf numFmtId="0" fontId="9" fillId="0" borderId="0" xfId="3" applyFont="1"/>
    <xf numFmtId="0" fontId="10" fillId="0" borderId="0" xfId="3" applyFont="1"/>
    <xf numFmtId="0" fontId="11" fillId="0" borderId="0" xfId="3" applyFont="1"/>
    <xf numFmtId="0" fontId="9" fillId="0" borderId="0" xfId="3" quotePrefix="1" applyFont="1"/>
    <xf numFmtId="165" fontId="1" fillId="0" borderId="0" xfId="1" applyNumberFormat="1" applyFont="1"/>
    <xf numFmtId="10" fontId="1" fillId="0" borderId="0" xfId="2" applyNumberFormat="1" applyFont="1"/>
    <xf numFmtId="0" fontId="1" fillId="0" borderId="0" xfId="0" applyFont="1" applyAlignment="1">
      <alignment horizontal="right"/>
    </xf>
    <xf numFmtId="0" fontId="1" fillId="0" borderId="0" xfId="0" applyFont="1" applyAlignment="1">
      <alignment horizontal="center"/>
    </xf>
    <xf numFmtId="43" fontId="1" fillId="0" borderId="0" xfId="1" applyFont="1"/>
    <xf numFmtId="164" fontId="1" fillId="0" borderId="0" xfId="2" applyNumberFormat="1" applyFont="1"/>
    <xf numFmtId="170" fontId="1" fillId="0" borderId="0" xfId="0" applyNumberFormat="1" applyFont="1"/>
    <xf numFmtId="167" fontId="1" fillId="0" borderId="0" xfId="1" applyNumberFormat="1" applyFont="1"/>
    <xf numFmtId="164" fontId="1" fillId="0" borderId="0" xfId="0" applyNumberFormat="1" applyFont="1"/>
    <xf numFmtId="9" fontId="1" fillId="0" borderId="0" xfId="0" applyNumberFormat="1" applyFont="1"/>
    <xf numFmtId="166" fontId="1" fillId="0" borderId="0" xfId="1" applyNumberFormat="1" applyFont="1"/>
    <xf numFmtId="168" fontId="1" fillId="0" borderId="0" xfId="0" applyNumberFormat="1" applyFont="1"/>
    <xf numFmtId="9" fontId="1" fillId="0" borderId="0" xfId="2" applyFont="1"/>
    <xf numFmtId="10" fontId="1" fillId="0" borderId="0" xfId="0" applyNumberFormat="1" applyFont="1"/>
    <xf numFmtId="169" fontId="1" fillId="0" borderId="0" xfId="0" applyNumberFormat="1" applyFont="1" applyAlignment="1">
      <alignment horizontal="right"/>
    </xf>
    <xf numFmtId="169" fontId="1" fillId="0" borderId="0" xfId="0" applyNumberFormat="1" applyFont="1"/>
    <xf numFmtId="165" fontId="1" fillId="0" borderId="0" xfId="0" applyNumberFormat="1" applyFont="1"/>
    <xf numFmtId="171" fontId="1" fillId="0" borderId="0" xfId="2" applyNumberFormat="1" applyFont="1"/>
    <xf numFmtId="0" fontId="1" fillId="0" borderId="0" xfId="1" applyNumberFormat="1" applyFont="1"/>
    <xf numFmtId="166" fontId="1" fillId="0" borderId="0" xfId="0" applyNumberFormat="1" applyFont="1"/>
    <xf numFmtId="166" fontId="1" fillId="0" borderId="0" xfId="1" applyNumberFormat="1" applyFont="1" applyFill="1" applyAlignment="1">
      <alignment horizontal="right"/>
    </xf>
    <xf numFmtId="166" fontId="1" fillId="0" borderId="0" xfId="1" applyNumberFormat="1" applyFont="1" applyFill="1"/>
    <xf numFmtId="165" fontId="1" fillId="0" borderId="0" xfId="1" applyNumberFormat="1" applyFont="1" applyFill="1"/>
    <xf numFmtId="43" fontId="1" fillId="0" borderId="0" xfId="1" applyFont="1" applyFill="1"/>
    <xf numFmtId="165" fontId="1" fillId="0" borderId="0" xfId="0" applyNumberFormat="1" applyFont="1" applyAlignment="1">
      <alignment horizontal="right"/>
    </xf>
    <xf numFmtId="10" fontId="1" fillId="0" borderId="0" xfId="2" applyNumberFormat="1" applyFont="1" applyAlignment="1">
      <alignment horizontal="right"/>
    </xf>
    <xf numFmtId="165" fontId="1" fillId="0" borderId="0" xfId="2" applyNumberFormat="1" applyFont="1"/>
    <xf numFmtId="0" fontId="1" fillId="0" borderId="0" xfId="0" applyFont="1" applyAlignment="1">
      <alignment horizontal="center" vertical="center"/>
    </xf>
    <xf numFmtId="0" fontId="1" fillId="0" borderId="0" xfId="0" quotePrefix="1" applyFont="1" applyAlignment="1">
      <alignment horizontal="right"/>
    </xf>
    <xf numFmtId="168" fontId="1" fillId="0" borderId="0" xfId="0" applyNumberFormat="1" applyFont="1" applyAlignment="1">
      <alignment horizontal="center"/>
    </xf>
    <xf numFmtId="0" fontId="1" fillId="0" borderId="0" xfId="0" applyFont="1" applyAlignment="1">
      <alignment vertical="center"/>
    </xf>
    <xf numFmtId="0" fontId="1" fillId="0" borderId="3" xfId="0" applyFont="1" applyBorder="1" applyAlignment="1">
      <alignment horizontal="center" vertical="center"/>
    </xf>
    <xf numFmtId="0" fontId="1" fillId="0" borderId="3" xfId="0" applyFont="1" applyBorder="1" applyAlignment="1">
      <alignment horizontal="center"/>
    </xf>
    <xf numFmtId="0" fontId="1" fillId="0" borderId="5" xfId="0" applyFont="1" applyBorder="1" applyAlignment="1">
      <alignment horizontal="right"/>
    </xf>
    <xf numFmtId="0" fontId="1" fillId="0" borderId="5" xfId="0" applyFont="1" applyBorder="1" applyAlignment="1">
      <alignment horizontal="center"/>
    </xf>
    <xf numFmtId="0" fontId="1" fillId="0" borderId="4" xfId="0" applyFont="1" applyBorder="1" applyAlignment="1">
      <alignment horizontal="center" vertical="center"/>
    </xf>
    <xf numFmtId="0" fontId="1" fillId="0" borderId="4" xfId="0" applyFont="1" applyBorder="1" applyAlignment="1">
      <alignment horizontal="center"/>
    </xf>
    <xf numFmtId="0" fontId="1" fillId="0" borderId="6" xfId="0" quotePrefix="1" applyFont="1" applyBorder="1" applyAlignment="1">
      <alignment horizontal="right"/>
    </xf>
    <xf numFmtId="0" fontId="1" fillId="0" borderId="11" xfId="0" applyFont="1" applyBorder="1" applyAlignment="1">
      <alignment horizontal="center"/>
    </xf>
    <xf numFmtId="0" fontId="1" fillId="0" borderId="10" xfId="0" applyFont="1" applyBorder="1" applyAlignment="1">
      <alignment horizontal="center"/>
    </xf>
    <xf numFmtId="0" fontId="1" fillId="0" borderId="2" xfId="0" applyFont="1" applyBorder="1" applyAlignment="1">
      <alignment horizontal="center" vertical="center"/>
    </xf>
    <xf numFmtId="0" fontId="1" fillId="0" borderId="2" xfId="0" applyFont="1" applyBorder="1"/>
    <xf numFmtId="0" fontId="1" fillId="0" borderId="7" xfId="0" applyFont="1" applyBorder="1"/>
    <xf numFmtId="0" fontId="1" fillId="0" borderId="6" xfId="0" applyFont="1" applyBorder="1" applyAlignment="1">
      <alignment horizontal="center"/>
    </xf>
    <xf numFmtId="168" fontId="1" fillId="0" borderId="2" xfId="0" applyNumberFormat="1" applyFont="1" applyBorder="1"/>
    <xf numFmtId="168" fontId="1" fillId="0" borderId="4" xfId="0" applyNumberFormat="1" applyFont="1" applyBorder="1"/>
    <xf numFmtId="164" fontId="1" fillId="0" borderId="4" xfId="2" applyNumberFormat="1" applyFont="1" applyBorder="1" applyAlignment="1">
      <alignment horizontal="center"/>
    </xf>
    <xf numFmtId="168" fontId="1" fillId="0" borderId="2" xfId="0" applyNumberFormat="1" applyFont="1" applyBorder="1" applyAlignment="1">
      <alignment horizontal="center"/>
    </xf>
    <xf numFmtId="0" fontId="1" fillId="0" borderId="3" xfId="0" applyFont="1" applyBorder="1"/>
    <xf numFmtId="0" fontId="1" fillId="0" borderId="2" xfId="0" applyFont="1" applyBorder="1" applyAlignment="1">
      <alignment horizontal="center"/>
    </xf>
    <xf numFmtId="165" fontId="1" fillId="0" borderId="2" xfId="1" applyNumberFormat="1" applyFont="1" applyBorder="1" applyAlignment="1">
      <alignment horizontal="right"/>
    </xf>
    <xf numFmtId="37" fontId="1" fillId="0" borderId="2" xfId="1" applyNumberFormat="1" applyFont="1" applyBorder="1" applyAlignment="1">
      <alignment horizontal="right"/>
    </xf>
    <xf numFmtId="165" fontId="1" fillId="0" borderId="5" xfId="1" applyNumberFormat="1" applyFont="1" applyBorder="1" applyAlignment="1">
      <alignment horizontal="right"/>
    </xf>
    <xf numFmtId="165" fontId="1" fillId="0" borderId="12" xfId="1" applyNumberFormat="1" applyFont="1" applyBorder="1" applyAlignment="1">
      <alignment horizontal="right"/>
    </xf>
    <xf numFmtId="37" fontId="1" fillId="0" borderId="8" xfId="0" applyNumberFormat="1" applyFont="1" applyBorder="1"/>
    <xf numFmtId="165" fontId="1" fillId="0" borderId="11" xfId="1" applyNumberFormat="1" applyFont="1" applyBorder="1" applyAlignment="1">
      <alignment horizontal="right"/>
    </xf>
    <xf numFmtId="165" fontId="1" fillId="0" borderId="0" xfId="1" applyNumberFormat="1" applyFont="1" applyBorder="1" applyAlignment="1">
      <alignment horizontal="right"/>
    </xf>
    <xf numFmtId="37" fontId="1" fillId="0" borderId="13" xfId="0" applyNumberFormat="1" applyFont="1" applyBorder="1"/>
    <xf numFmtId="165" fontId="1" fillId="0" borderId="13" xfId="0" applyNumberFormat="1" applyFont="1" applyBorder="1"/>
    <xf numFmtId="165" fontId="1" fillId="0" borderId="6" xfId="1" applyNumberFormat="1" applyFont="1" applyBorder="1" applyAlignment="1">
      <alignment horizontal="right"/>
    </xf>
    <xf numFmtId="165" fontId="1" fillId="0" borderId="1" xfId="1" applyNumberFormat="1" applyFont="1" applyBorder="1" applyAlignment="1">
      <alignment horizontal="right"/>
    </xf>
    <xf numFmtId="165" fontId="1" fillId="0" borderId="9" xfId="0" applyNumberFormat="1" applyFont="1" applyBorder="1"/>
    <xf numFmtId="165" fontId="11" fillId="0" borderId="0" xfId="1" applyNumberFormat="1" applyFont="1"/>
    <xf numFmtId="43" fontId="11" fillId="0" borderId="0" xfId="1" applyFont="1"/>
    <xf numFmtId="10" fontId="11" fillId="0" borderId="0" xfId="2" applyNumberFormat="1" applyFont="1"/>
    <xf numFmtId="164" fontId="11" fillId="0" borderId="0" xfId="2" applyNumberFormat="1" applyFont="1"/>
    <xf numFmtId="170" fontId="11" fillId="0" borderId="0" xfId="0" applyNumberFormat="1" applyFont="1"/>
    <xf numFmtId="0" fontId="9" fillId="2" borderId="0" xfId="3" applyFont="1" applyFill="1"/>
    <xf numFmtId="0" fontId="11" fillId="2" borderId="0" xfId="3" applyFont="1" applyFill="1"/>
    <xf numFmtId="0" fontId="13" fillId="2" borderId="0" xfId="3" applyFont="1" applyFill="1"/>
    <xf numFmtId="0" fontId="10" fillId="2" borderId="0" xfId="3" applyFont="1" applyFill="1"/>
    <xf numFmtId="0" fontId="1" fillId="2" borderId="0" xfId="0" applyFont="1" applyFill="1"/>
    <xf numFmtId="0" fontId="14" fillId="0" borderId="0" xfId="3" applyFont="1"/>
    <xf numFmtId="0" fontId="1" fillId="0" borderId="0" xfId="0" quotePrefix="1" applyFont="1" applyAlignment="1">
      <alignment horizontal="center"/>
    </xf>
    <xf numFmtId="0" fontId="1" fillId="0" borderId="0" xfId="0" applyFont="1" applyAlignment="1">
      <alignment horizontal="left" vertical="center"/>
    </xf>
    <xf numFmtId="0" fontId="1" fillId="0" borderId="1" xfId="0" applyFont="1" applyBorder="1" applyAlignment="1">
      <alignment horizontal="left" vertical="center"/>
    </xf>
    <xf numFmtId="0" fontId="1" fillId="0" borderId="1" xfId="0" applyFont="1" applyBorder="1" applyAlignment="1">
      <alignment horizontal="left"/>
    </xf>
  </cellXfs>
  <cellStyles count="4">
    <cellStyle name="Comma" xfId="1" builtinId="3"/>
    <cellStyle name="Normal" xfId="0" builtinId="0"/>
    <cellStyle name="Normal 12" xfId="3" xr:uid="{7DB0043F-538C-4E07-939F-B961E44EDF65}"/>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0FB6F4-5B44-4891-8F0C-258D78FD5904}">
  <dimension ref="A1:AC45"/>
  <sheetViews>
    <sheetView tabSelected="1" workbookViewId="0">
      <selection activeCell="B18" sqref="B18"/>
    </sheetView>
  </sheetViews>
  <sheetFormatPr defaultColWidth="8.7109375" defaultRowHeight="15" x14ac:dyDescent="0.25"/>
  <cols>
    <col min="1" max="3" width="1.7109375" style="14" customWidth="1"/>
    <col min="4" max="16384" width="8.7109375" style="14"/>
  </cols>
  <sheetData>
    <row r="1" spans="1:23" ht="13.35" customHeight="1" x14ac:dyDescent="0.25">
      <c r="A1" s="13" t="s">
        <v>146</v>
      </c>
      <c r="M1" s="12" t="s">
        <v>177</v>
      </c>
    </row>
    <row r="2" spans="1:23" ht="13.35" customHeight="1" x14ac:dyDescent="0.25">
      <c r="A2" s="11" t="s">
        <v>147</v>
      </c>
    </row>
    <row r="3" spans="1:23" ht="2.1" customHeight="1" x14ac:dyDescent="0.25"/>
    <row r="4" spans="1:23" ht="13.35" customHeight="1" x14ac:dyDescent="0.25">
      <c r="A4" s="15" t="s">
        <v>148</v>
      </c>
    </row>
    <row r="5" spans="1:23" ht="13.35" customHeight="1" x14ac:dyDescent="0.25">
      <c r="A5" s="16" t="s">
        <v>149</v>
      </c>
    </row>
    <row r="6" spans="1:23" ht="2.1" customHeight="1" x14ac:dyDescent="0.25">
      <c r="A6" s="13"/>
    </row>
    <row r="7" spans="1:23" ht="13.35" customHeight="1" x14ac:dyDescent="0.25">
      <c r="A7" s="1" t="s">
        <v>150</v>
      </c>
    </row>
    <row r="8" spans="1:23" ht="13.35" customHeight="1" x14ac:dyDescent="0.25">
      <c r="A8" s="1"/>
    </row>
    <row r="9" spans="1:23" ht="13.35" customHeight="1" x14ac:dyDescent="0.25">
      <c r="B9" s="14" t="s">
        <v>151</v>
      </c>
    </row>
    <row r="10" spans="1:23" ht="13.35" customHeight="1" x14ac:dyDescent="0.25"/>
    <row r="11" spans="1:23" ht="13.35" customHeight="1" x14ac:dyDescent="0.25">
      <c r="B11" s="14" t="s">
        <v>152</v>
      </c>
    </row>
    <row r="12" spans="1:23" ht="13.35" customHeight="1" x14ac:dyDescent="0.25">
      <c r="B12" s="14" t="s">
        <v>153</v>
      </c>
    </row>
    <row r="13" spans="1:23" ht="13.35" customHeight="1" x14ac:dyDescent="0.25">
      <c r="B13" s="14" t="s">
        <v>154</v>
      </c>
    </row>
    <row r="15" spans="1:23" s="90" customFormat="1" ht="13.35" customHeight="1" x14ac:dyDescent="0.25">
      <c r="A15" s="14"/>
      <c r="B15" s="14" t="s">
        <v>179</v>
      </c>
      <c r="C15" s="14"/>
      <c r="D15" s="14"/>
      <c r="E15" s="14"/>
      <c r="F15" s="14"/>
      <c r="G15" s="14"/>
      <c r="H15" s="14"/>
      <c r="I15" s="14"/>
      <c r="J15" s="14"/>
      <c r="K15" s="14"/>
      <c r="L15" s="14"/>
      <c r="M15" s="14"/>
      <c r="N15" s="14"/>
      <c r="O15" s="14"/>
      <c r="P15" s="14"/>
      <c r="Q15" s="14"/>
      <c r="R15" s="14"/>
      <c r="S15" s="14"/>
      <c r="T15" s="14"/>
      <c r="U15" s="14"/>
      <c r="V15" s="14"/>
      <c r="W15" s="14"/>
    </row>
    <row r="16" spans="1:23" s="90" customFormat="1" ht="13.35" customHeight="1" x14ac:dyDescent="0.25">
      <c r="A16" s="14"/>
      <c r="B16" s="14" t="s">
        <v>162</v>
      </c>
      <c r="C16" s="14"/>
      <c r="D16" s="14"/>
      <c r="E16" s="14"/>
      <c r="F16" s="14"/>
      <c r="G16" s="14"/>
      <c r="H16" s="14"/>
      <c r="I16" s="14"/>
      <c r="J16" s="14"/>
      <c r="K16" s="14"/>
      <c r="L16" s="14"/>
      <c r="M16" s="14"/>
      <c r="N16" s="14"/>
      <c r="O16" s="14"/>
      <c r="P16" s="14"/>
      <c r="Q16" s="14"/>
      <c r="R16" s="14"/>
      <c r="S16" s="14"/>
      <c r="T16" s="14"/>
      <c r="U16" s="14"/>
      <c r="V16" s="14"/>
      <c r="W16" s="14"/>
    </row>
    <row r="17" spans="1:23" s="90" customFormat="1" ht="13.35" customHeight="1" x14ac:dyDescent="0.25">
      <c r="A17" s="14"/>
      <c r="B17" s="14" t="s">
        <v>180</v>
      </c>
      <c r="C17" s="14"/>
      <c r="D17" s="14"/>
      <c r="E17" s="14"/>
      <c r="F17" s="14"/>
      <c r="G17" s="14"/>
      <c r="H17" s="14"/>
      <c r="I17" s="14"/>
      <c r="J17" s="14"/>
      <c r="K17" s="14"/>
      <c r="L17" s="14"/>
      <c r="M17" s="14"/>
      <c r="N17" s="14"/>
      <c r="O17" s="14"/>
      <c r="P17" s="14"/>
      <c r="Q17" s="14"/>
      <c r="R17" s="14"/>
      <c r="S17" s="14"/>
      <c r="T17" s="14"/>
      <c r="U17" s="14"/>
      <c r="V17" s="14"/>
      <c r="W17" s="14"/>
    </row>
    <row r="18" spans="1:23" s="90" customFormat="1" ht="13.35" customHeight="1" x14ac:dyDescent="0.25">
      <c r="A18" s="14"/>
      <c r="B18" s="14" t="s">
        <v>181</v>
      </c>
      <c r="C18" s="14"/>
      <c r="D18" s="14"/>
      <c r="E18" s="14"/>
      <c r="F18" s="14"/>
      <c r="G18" s="14"/>
      <c r="H18" s="14"/>
      <c r="I18" s="14"/>
      <c r="J18" s="14"/>
      <c r="K18" s="14"/>
      <c r="L18" s="14"/>
      <c r="M18" s="14"/>
      <c r="N18" s="14"/>
      <c r="O18" s="14"/>
      <c r="P18" s="14"/>
      <c r="Q18" s="14"/>
      <c r="R18" s="14"/>
      <c r="S18" s="14"/>
      <c r="T18" s="14"/>
      <c r="U18" s="14"/>
      <c r="V18" s="14"/>
      <c r="W18" s="14"/>
    </row>
    <row r="20" spans="1:23" ht="13.35" customHeight="1" x14ac:dyDescent="0.25">
      <c r="B20" s="15" t="s">
        <v>155</v>
      </c>
    </row>
    <row r="22" spans="1:23" ht="13.35" customHeight="1" x14ac:dyDescent="0.25">
      <c r="C22" s="14" t="s">
        <v>156</v>
      </c>
    </row>
    <row r="23" spans="1:23" s="85" customFormat="1" ht="13.35" customHeight="1" x14ac:dyDescent="0.25">
      <c r="D23" s="86" t="s">
        <v>175</v>
      </c>
      <c r="J23" s="87"/>
      <c r="Q23" s="88"/>
    </row>
    <row r="24" spans="1:23" ht="13.35" customHeight="1" x14ac:dyDescent="0.25">
      <c r="D24" s="14" t="s">
        <v>176</v>
      </c>
    </row>
    <row r="25" spans="1:23" ht="13.35" customHeight="1" x14ac:dyDescent="0.25">
      <c r="D25" s="14" t="s">
        <v>157</v>
      </c>
    </row>
    <row r="27" spans="1:23" ht="13.35" customHeight="1" x14ac:dyDescent="0.25">
      <c r="B27" s="15" t="s">
        <v>163</v>
      </c>
      <c r="I27" s="12"/>
      <c r="J27" s="12"/>
      <c r="K27" s="12"/>
      <c r="L27" s="12"/>
      <c r="M27" s="12"/>
    </row>
    <row r="28" spans="1:23" ht="13.35" customHeight="1" x14ac:dyDescent="0.25">
      <c r="B28" s="15"/>
      <c r="I28" s="12"/>
      <c r="J28" s="12"/>
      <c r="K28" s="12"/>
      <c r="L28" s="12"/>
      <c r="M28" s="12"/>
    </row>
    <row r="29" spans="1:23" ht="13.35" customHeight="1" x14ac:dyDescent="0.25">
      <c r="C29" s="14" t="s">
        <v>164</v>
      </c>
      <c r="I29" s="12"/>
      <c r="J29" s="12"/>
      <c r="K29" s="12"/>
      <c r="L29" s="12"/>
      <c r="M29" s="12"/>
    </row>
    <row r="30" spans="1:23" ht="13.35" customHeight="1" x14ac:dyDescent="0.25">
      <c r="C30" s="14" t="s">
        <v>158</v>
      </c>
      <c r="I30" s="12"/>
      <c r="J30" s="12"/>
      <c r="K30" s="12"/>
      <c r="L30" s="12"/>
      <c r="M30" s="12"/>
    </row>
    <row r="31" spans="1:23" ht="13.35" customHeight="1" x14ac:dyDescent="0.25">
      <c r="C31" s="14" t="s">
        <v>159</v>
      </c>
      <c r="I31" s="12"/>
      <c r="J31" s="12"/>
      <c r="K31" s="12"/>
      <c r="L31" s="12"/>
      <c r="M31" s="12"/>
    </row>
    <row r="32" spans="1:23" ht="13.35" customHeight="1" x14ac:dyDescent="0.25">
      <c r="C32" s="14" t="s">
        <v>169</v>
      </c>
      <c r="I32" s="12"/>
      <c r="J32" s="12"/>
      <c r="K32" s="12"/>
      <c r="L32" s="12"/>
      <c r="M32" s="12"/>
    </row>
    <row r="33" spans="1:29" ht="13.35" customHeight="1" x14ac:dyDescent="0.25">
      <c r="I33" s="12"/>
      <c r="J33" s="12"/>
      <c r="K33" s="12"/>
      <c r="L33" s="12"/>
      <c r="M33" s="12"/>
    </row>
    <row r="34" spans="1:29" ht="13.35" customHeight="1" x14ac:dyDescent="0.25">
      <c r="B34" s="15" t="s">
        <v>165</v>
      </c>
      <c r="I34" s="12"/>
      <c r="J34" s="12"/>
      <c r="K34" s="12"/>
      <c r="L34" s="12"/>
      <c r="M34" s="12"/>
    </row>
    <row r="35" spans="1:29" ht="13.35" customHeight="1" x14ac:dyDescent="0.25">
      <c r="I35" s="12"/>
      <c r="J35" s="12"/>
      <c r="K35" s="12"/>
      <c r="L35" s="12"/>
      <c r="M35" s="12"/>
    </row>
    <row r="36" spans="1:29" ht="13.35" customHeight="1" x14ac:dyDescent="0.25">
      <c r="C36" s="17" t="s">
        <v>166</v>
      </c>
      <c r="I36" s="12"/>
      <c r="J36" s="12"/>
      <c r="K36" s="12"/>
      <c r="L36" s="12"/>
      <c r="M36" s="12"/>
    </row>
    <row r="37" spans="1:29" ht="13.35" customHeight="1" x14ac:dyDescent="0.25">
      <c r="C37" s="17" t="s">
        <v>167</v>
      </c>
      <c r="I37" s="12"/>
      <c r="J37" s="12"/>
      <c r="K37" s="12"/>
      <c r="L37" s="12"/>
      <c r="M37" s="12"/>
    </row>
    <row r="38" spans="1:29" ht="13.35" customHeight="1" x14ac:dyDescent="0.25">
      <c r="C38" s="17" t="s">
        <v>168</v>
      </c>
      <c r="I38" s="12"/>
      <c r="J38" s="12"/>
      <c r="K38" s="12"/>
      <c r="L38" s="12"/>
      <c r="M38" s="12"/>
    </row>
    <row r="39" spans="1:29" ht="13.35" customHeight="1" x14ac:dyDescent="0.25">
      <c r="I39" s="12"/>
      <c r="J39" s="12"/>
      <c r="K39" s="12"/>
      <c r="L39" s="12"/>
      <c r="M39" s="12"/>
    </row>
    <row r="40" spans="1:29" ht="13.35" customHeight="1" x14ac:dyDescent="0.25">
      <c r="B40" s="15" t="s">
        <v>160</v>
      </c>
      <c r="I40" s="12"/>
      <c r="J40" s="12"/>
      <c r="K40" s="12"/>
      <c r="L40" s="12"/>
      <c r="M40" s="12"/>
    </row>
    <row r="41" spans="1:29" ht="13.35" customHeight="1" x14ac:dyDescent="0.25">
      <c r="I41" s="12"/>
      <c r="J41" s="12"/>
      <c r="K41" s="12"/>
      <c r="L41" s="12"/>
      <c r="M41" s="12"/>
    </row>
    <row r="42" spans="1:29" ht="13.35" customHeight="1" x14ac:dyDescent="0.25">
      <c r="C42" s="14" t="s">
        <v>161</v>
      </c>
      <c r="I42" s="12"/>
      <c r="J42" s="12"/>
      <c r="K42" s="12"/>
      <c r="L42" s="12"/>
      <c r="M42" s="12"/>
    </row>
    <row r="43" spans="1:29" ht="13.35" customHeight="1" x14ac:dyDescent="0.25">
      <c r="A43" s="12"/>
      <c r="B43" s="12"/>
      <c r="C43" s="12"/>
      <c r="D43" s="17" t="s">
        <v>170</v>
      </c>
      <c r="E43" s="12"/>
      <c r="F43" s="12"/>
      <c r="G43" s="12"/>
      <c r="H43" s="12"/>
      <c r="I43" s="12"/>
      <c r="J43" s="12"/>
      <c r="K43" s="12"/>
      <c r="L43" s="12"/>
      <c r="M43" s="12"/>
      <c r="N43" s="12"/>
      <c r="O43" s="12"/>
      <c r="P43" s="12"/>
      <c r="Q43" s="12"/>
      <c r="R43" s="12"/>
      <c r="S43" s="12"/>
    </row>
    <row r="44" spans="1:29" ht="13.35" customHeight="1" x14ac:dyDescent="0.25">
      <c r="A44" s="12"/>
      <c r="B44" s="12"/>
      <c r="C44" s="12"/>
      <c r="D44" s="17" t="s">
        <v>178</v>
      </c>
      <c r="E44" s="12"/>
      <c r="F44" s="12"/>
      <c r="G44" s="12"/>
      <c r="H44" s="12"/>
      <c r="I44" s="12"/>
      <c r="J44" s="87"/>
      <c r="K44" s="89"/>
      <c r="L44" s="89"/>
      <c r="M44" s="89"/>
      <c r="N44" s="89"/>
      <c r="O44" s="89"/>
      <c r="P44" s="89"/>
      <c r="Q44" s="89"/>
      <c r="R44" s="89"/>
      <c r="S44" s="89"/>
      <c r="T44" s="85"/>
      <c r="U44" s="85"/>
      <c r="V44" s="85"/>
      <c r="W44" s="85"/>
      <c r="X44" s="85"/>
      <c r="Y44" s="85"/>
      <c r="Z44" s="85"/>
      <c r="AA44" s="85"/>
      <c r="AB44" s="85"/>
      <c r="AC44" s="85"/>
    </row>
    <row r="45" spans="1:29" ht="13.35" customHeight="1" x14ac:dyDescent="0.25">
      <c r="D45" s="17"/>
      <c r="I45" s="12"/>
      <c r="J45" s="88"/>
      <c r="K45" s="89"/>
      <c r="L45" s="89"/>
      <c r="M45" s="89"/>
      <c r="N45" s="85"/>
      <c r="O45" s="85"/>
      <c r="P45" s="85"/>
      <c r="Q45" s="85"/>
      <c r="R45" s="85"/>
      <c r="S45" s="85"/>
      <c r="T45" s="85"/>
      <c r="U45" s="85"/>
      <c r="V45" s="85"/>
      <c r="W45" s="85"/>
      <c r="X45" s="85"/>
      <c r="Y45" s="85"/>
      <c r="Z45" s="85"/>
      <c r="AA45" s="85"/>
      <c r="AB45" s="85"/>
      <c r="AC45" s="85"/>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8"/>
  <sheetViews>
    <sheetView zoomScaleNormal="100" workbookViewId="0">
      <selection activeCell="O43" sqref="O43"/>
    </sheetView>
  </sheetViews>
  <sheetFormatPr defaultColWidth="8.7109375" defaultRowHeight="15" x14ac:dyDescent="0.25"/>
  <cols>
    <col min="1" max="1" width="30.5703125" style="12" bestFit="1" customWidth="1"/>
    <col min="2" max="2" width="10" style="12" bestFit="1" customWidth="1"/>
    <col min="3" max="4" width="11.5703125" style="12" customWidth="1"/>
    <col min="5" max="5" width="13.42578125" style="12" bestFit="1" customWidth="1"/>
    <col min="6" max="6" width="14" style="12" bestFit="1" customWidth="1"/>
    <col min="7" max="7" width="13.5703125" style="12" bestFit="1" customWidth="1"/>
    <col min="8" max="14" width="11.5703125" style="12" customWidth="1"/>
    <col min="15" max="16384" width="8.7109375" style="12"/>
  </cols>
  <sheetData>
    <row r="1" spans="1:14" x14ac:dyDescent="0.25">
      <c r="A1" s="13" t="s">
        <v>146</v>
      </c>
      <c r="E1" s="12">
        <f>0.0425*1.01</f>
        <v>4.2925000000000005E-2</v>
      </c>
    </row>
    <row r="2" spans="1:14" x14ac:dyDescent="0.25">
      <c r="A2" s="11" t="s">
        <v>147</v>
      </c>
    </row>
    <row r="3" spans="1:14" x14ac:dyDescent="0.25">
      <c r="A3" s="15" t="s">
        <v>148</v>
      </c>
    </row>
    <row r="4" spans="1:14" x14ac:dyDescent="0.25">
      <c r="A4" s="16" t="s">
        <v>149</v>
      </c>
    </row>
    <row r="5" spans="1:14" x14ac:dyDescent="0.25">
      <c r="A5" s="16"/>
    </row>
    <row r="6" spans="1:14" x14ac:dyDescent="0.25">
      <c r="A6" s="1" t="s">
        <v>20</v>
      </c>
    </row>
    <row r="8" spans="1:14" x14ac:dyDescent="0.25">
      <c r="A8" s="1" t="s">
        <v>83</v>
      </c>
    </row>
    <row r="10" spans="1:14" x14ac:dyDescent="0.25">
      <c r="A10" s="12" t="s">
        <v>21</v>
      </c>
      <c r="B10" s="80">
        <v>1000</v>
      </c>
    </row>
    <row r="11" spans="1:14" x14ac:dyDescent="0.25">
      <c r="A11" s="12" t="s">
        <v>65</v>
      </c>
      <c r="B11" s="80">
        <v>100</v>
      </c>
      <c r="E11" s="19"/>
    </row>
    <row r="12" spans="1:14" x14ac:dyDescent="0.25">
      <c r="B12" s="18"/>
      <c r="E12" s="19"/>
    </row>
    <row r="13" spans="1:14" x14ac:dyDescent="0.25">
      <c r="B13" s="20"/>
      <c r="C13" s="20" t="s">
        <v>23</v>
      </c>
      <c r="D13" s="20"/>
      <c r="E13" s="20"/>
      <c r="F13" s="20"/>
      <c r="G13" s="20"/>
      <c r="H13" s="20"/>
      <c r="I13" s="20"/>
      <c r="J13" s="20"/>
      <c r="K13" s="20"/>
      <c r="L13" s="20"/>
      <c r="M13" s="20"/>
    </row>
    <row r="14" spans="1:14" x14ac:dyDescent="0.25">
      <c r="A14" s="21"/>
      <c r="B14" s="20"/>
      <c r="C14" s="20" t="s">
        <v>22</v>
      </c>
      <c r="D14" s="20" t="s">
        <v>62</v>
      </c>
      <c r="E14" s="20"/>
      <c r="F14" s="20" t="s">
        <v>25</v>
      </c>
      <c r="G14" s="20" t="s">
        <v>26</v>
      </c>
      <c r="H14" s="20" t="s">
        <v>26</v>
      </c>
      <c r="I14" s="20" t="s">
        <v>26</v>
      </c>
      <c r="J14" s="20" t="s">
        <v>110</v>
      </c>
      <c r="K14" s="20"/>
      <c r="L14" s="20"/>
      <c r="M14" s="20"/>
    </row>
    <row r="15" spans="1:14" x14ac:dyDescent="0.25">
      <c r="A15" s="20" t="s">
        <v>0</v>
      </c>
      <c r="B15" s="20" t="s">
        <v>4</v>
      </c>
      <c r="C15" s="20" t="s">
        <v>59</v>
      </c>
      <c r="D15" s="20" t="s">
        <v>61</v>
      </c>
      <c r="E15" s="20" t="s">
        <v>6</v>
      </c>
      <c r="F15" s="20" t="s">
        <v>6</v>
      </c>
      <c r="G15" s="20" t="s">
        <v>27</v>
      </c>
      <c r="H15" s="20" t="s">
        <v>28</v>
      </c>
      <c r="I15" s="20" t="s">
        <v>9</v>
      </c>
      <c r="J15" s="20" t="s">
        <v>111</v>
      </c>
      <c r="K15" s="20" t="s">
        <v>56</v>
      </c>
      <c r="L15" s="20" t="s">
        <v>2</v>
      </c>
      <c r="M15" s="20" t="s">
        <v>11</v>
      </c>
      <c r="N15" s="20" t="s">
        <v>60</v>
      </c>
    </row>
    <row r="16" spans="1:14" x14ac:dyDescent="0.25">
      <c r="A16" s="2" t="s">
        <v>1</v>
      </c>
      <c r="B16" s="2" t="s">
        <v>58</v>
      </c>
      <c r="C16" s="2" t="s">
        <v>24</v>
      </c>
      <c r="D16" s="2" t="s">
        <v>3</v>
      </c>
      <c r="E16" s="2" t="s">
        <v>3</v>
      </c>
      <c r="F16" s="2" t="s">
        <v>3</v>
      </c>
      <c r="G16" s="2" t="s">
        <v>5</v>
      </c>
      <c r="H16" s="2" t="s">
        <v>5</v>
      </c>
      <c r="I16" s="2" t="s">
        <v>5</v>
      </c>
      <c r="J16" s="2" t="s">
        <v>5</v>
      </c>
      <c r="K16" s="2" t="s">
        <v>57</v>
      </c>
      <c r="L16" s="2" t="s">
        <v>3</v>
      </c>
      <c r="M16" s="2" t="s">
        <v>3</v>
      </c>
      <c r="N16" s="2" t="s">
        <v>58</v>
      </c>
    </row>
    <row r="17" spans="1:14" x14ac:dyDescent="0.25">
      <c r="A17" s="20"/>
      <c r="N17" s="22"/>
    </row>
    <row r="18" spans="1:14" x14ac:dyDescent="0.25">
      <c r="A18" s="20">
        <v>1</v>
      </c>
      <c r="B18" s="81">
        <v>90</v>
      </c>
      <c r="C18" s="82">
        <v>4.2500000000000003E-2</v>
      </c>
      <c r="D18" s="82">
        <v>0.04</v>
      </c>
      <c r="E18" s="83">
        <v>0.75</v>
      </c>
      <c r="F18" s="83">
        <f>E18-E27</f>
        <v>0.7</v>
      </c>
      <c r="G18" s="80">
        <v>200</v>
      </c>
      <c r="H18" s="80">
        <v>100</v>
      </c>
      <c r="I18" s="81">
        <v>35</v>
      </c>
      <c r="J18" s="81">
        <v>1000</v>
      </c>
      <c r="K18" s="82">
        <v>2.2499999999999999E-2</v>
      </c>
      <c r="L18" s="84">
        <v>6.3000000000000003E-4</v>
      </c>
      <c r="M18" s="83">
        <v>0.15</v>
      </c>
      <c r="N18" s="81">
        <v>0</v>
      </c>
    </row>
    <row r="19" spans="1:14" x14ac:dyDescent="0.25">
      <c r="A19" s="20">
        <v>2</v>
      </c>
      <c r="B19" s="81">
        <f>B18</f>
        <v>90</v>
      </c>
      <c r="C19" s="82">
        <v>4.2500000000000003E-2</v>
      </c>
      <c r="D19" s="82">
        <v>0.04</v>
      </c>
      <c r="E19" s="83">
        <v>0.05</v>
      </c>
      <c r="F19" s="83">
        <v>0</v>
      </c>
      <c r="G19" s="80">
        <v>0.04</v>
      </c>
      <c r="H19" s="80">
        <v>0.02</v>
      </c>
      <c r="I19" s="81">
        <f>I18*1.02</f>
        <v>35.700000000000003</v>
      </c>
      <c r="J19" s="81">
        <v>1000</v>
      </c>
      <c r="K19" s="82">
        <v>2.2499999999999999E-2</v>
      </c>
      <c r="L19" s="84">
        <v>7.6999999999999996E-4</v>
      </c>
      <c r="M19" s="83">
        <v>0.12</v>
      </c>
      <c r="N19" s="81">
        <v>100</v>
      </c>
    </row>
    <row r="20" spans="1:14" x14ac:dyDescent="0.25">
      <c r="A20" s="20">
        <v>3</v>
      </c>
      <c r="B20" s="81">
        <f t="shared" ref="B20:B27" si="0">B19</f>
        <v>90</v>
      </c>
      <c r="C20" s="82">
        <v>4.2500000000000003E-2</v>
      </c>
      <c r="D20" s="82">
        <v>0.04</v>
      </c>
      <c r="E20" s="83">
        <v>0.05</v>
      </c>
      <c r="F20" s="83">
        <v>0</v>
      </c>
      <c r="G20" s="80">
        <v>0.04</v>
      </c>
      <c r="H20" s="80">
        <v>0.02</v>
      </c>
      <c r="I20" s="81">
        <f t="shared" ref="I20:I27" si="1">I19*1.02</f>
        <v>36.414000000000001</v>
      </c>
      <c r="J20" s="81">
        <v>1000</v>
      </c>
      <c r="K20" s="82">
        <v>2.2499999999999999E-2</v>
      </c>
      <c r="L20" s="84">
        <v>9.8999999999999999E-4</v>
      </c>
      <c r="M20" s="83">
        <v>0.1</v>
      </c>
      <c r="N20" s="81">
        <v>210</v>
      </c>
    </row>
    <row r="21" spans="1:14" x14ac:dyDescent="0.25">
      <c r="A21" s="20">
        <v>4</v>
      </c>
      <c r="B21" s="81">
        <f t="shared" si="0"/>
        <v>90</v>
      </c>
      <c r="C21" s="82">
        <v>4.2500000000000003E-2</v>
      </c>
      <c r="D21" s="82">
        <v>0.04</v>
      </c>
      <c r="E21" s="83">
        <v>0.05</v>
      </c>
      <c r="F21" s="83">
        <v>0</v>
      </c>
      <c r="G21" s="80">
        <v>0.04</v>
      </c>
      <c r="H21" s="80">
        <v>0.02</v>
      </c>
      <c r="I21" s="81">
        <f t="shared" si="1"/>
        <v>37.14228</v>
      </c>
      <c r="J21" s="81">
        <v>1000</v>
      </c>
      <c r="K21" s="82">
        <v>2.2499999999999999E-2</v>
      </c>
      <c r="L21" s="84">
        <v>1.14E-3</v>
      </c>
      <c r="M21" s="83">
        <v>0.09</v>
      </c>
      <c r="N21" s="81">
        <v>320</v>
      </c>
    </row>
    <row r="22" spans="1:14" hidden="1" x14ac:dyDescent="0.25">
      <c r="A22" s="20">
        <v>5</v>
      </c>
      <c r="B22" s="81">
        <f t="shared" si="0"/>
        <v>90</v>
      </c>
      <c r="C22" s="82">
        <v>4.2500000000000003E-2</v>
      </c>
      <c r="D22" s="82">
        <v>0.04</v>
      </c>
      <c r="E22" s="83">
        <v>0.05</v>
      </c>
      <c r="F22" s="83">
        <v>0</v>
      </c>
      <c r="G22" s="80">
        <v>0.04</v>
      </c>
      <c r="H22" s="80">
        <v>0.02</v>
      </c>
      <c r="I22" s="81">
        <f t="shared" si="1"/>
        <v>37.885125600000002</v>
      </c>
      <c r="J22" s="81">
        <v>1000</v>
      </c>
      <c r="K22" s="82">
        <v>2.2499999999999999E-2</v>
      </c>
      <c r="L22" s="84">
        <v>1.2800000000000001E-3</v>
      </c>
      <c r="M22" s="83">
        <v>0.08</v>
      </c>
      <c r="N22" s="81">
        <v>430</v>
      </c>
    </row>
    <row r="23" spans="1:14" x14ac:dyDescent="0.25">
      <c r="A23" s="20">
        <v>6</v>
      </c>
      <c r="B23" s="81">
        <f t="shared" si="0"/>
        <v>90</v>
      </c>
      <c r="C23" s="82">
        <v>4.2500000000000003E-2</v>
      </c>
      <c r="D23" s="82">
        <v>0.04</v>
      </c>
      <c r="E23" s="83">
        <v>0.05</v>
      </c>
      <c r="F23" s="83">
        <v>0</v>
      </c>
      <c r="G23" s="80">
        <v>0.04</v>
      </c>
      <c r="H23" s="80">
        <v>0.02</v>
      </c>
      <c r="I23" s="81">
        <f t="shared" si="1"/>
        <v>38.642828112000004</v>
      </c>
      <c r="J23" s="81">
        <v>1000</v>
      </c>
      <c r="K23" s="82">
        <v>2.2499999999999999E-2</v>
      </c>
      <c r="L23" s="84">
        <v>1.4E-3</v>
      </c>
      <c r="M23" s="83">
        <v>7.0000000000000007E-2</v>
      </c>
      <c r="N23" s="81">
        <v>540</v>
      </c>
    </row>
    <row r="24" spans="1:14" x14ac:dyDescent="0.25">
      <c r="A24" s="20">
        <v>7</v>
      </c>
      <c r="B24" s="81">
        <f t="shared" si="0"/>
        <v>90</v>
      </c>
      <c r="C24" s="82">
        <v>4.2500000000000003E-2</v>
      </c>
      <c r="D24" s="82">
        <v>0.04</v>
      </c>
      <c r="E24" s="83">
        <v>0.05</v>
      </c>
      <c r="F24" s="83">
        <v>0</v>
      </c>
      <c r="G24" s="80">
        <v>0.04</v>
      </c>
      <c r="H24" s="80">
        <v>0.02</v>
      </c>
      <c r="I24" s="81">
        <f t="shared" si="1"/>
        <v>39.415684674240005</v>
      </c>
      <c r="J24" s="81">
        <v>1000</v>
      </c>
      <c r="K24" s="82">
        <v>2.2499999999999999E-2</v>
      </c>
      <c r="L24" s="84">
        <v>1.58E-3</v>
      </c>
      <c r="M24" s="83">
        <v>0.06</v>
      </c>
      <c r="N24" s="81">
        <v>650</v>
      </c>
    </row>
    <row r="25" spans="1:14" x14ac:dyDescent="0.25">
      <c r="A25" s="20">
        <v>8</v>
      </c>
      <c r="B25" s="81">
        <f t="shared" si="0"/>
        <v>90</v>
      </c>
      <c r="C25" s="82">
        <v>4.2500000000000003E-2</v>
      </c>
      <c r="D25" s="82">
        <v>0.04</v>
      </c>
      <c r="E25" s="83">
        <v>0.05</v>
      </c>
      <c r="F25" s="83">
        <v>0</v>
      </c>
      <c r="G25" s="80">
        <v>0.04</v>
      </c>
      <c r="H25" s="80">
        <v>0.02</v>
      </c>
      <c r="I25" s="81">
        <f t="shared" si="1"/>
        <v>40.203998367724807</v>
      </c>
      <c r="J25" s="81">
        <v>1000</v>
      </c>
      <c r="K25" s="82">
        <v>2.2499999999999999E-2</v>
      </c>
      <c r="L25" s="84">
        <v>1.7799999999999999E-3</v>
      </c>
      <c r="M25" s="83">
        <v>0.05</v>
      </c>
      <c r="N25" s="81">
        <v>760</v>
      </c>
    </row>
    <row r="26" spans="1:14" x14ac:dyDescent="0.25">
      <c r="A26" s="20">
        <v>9</v>
      </c>
      <c r="B26" s="81">
        <f t="shared" si="0"/>
        <v>90</v>
      </c>
      <c r="C26" s="82">
        <v>4.2500000000000003E-2</v>
      </c>
      <c r="D26" s="82">
        <v>0.04</v>
      </c>
      <c r="E26" s="83">
        <v>0.05</v>
      </c>
      <c r="F26" s="83">
        <v>0</v>
      </c>
      <c r="G26" s="80">
        <v>0.04</v>
      </c>
      <c r="H26" s="80">
        <v>0.02</v>
      </c>
      <c r="I26" s="81">
        <f t="shared" si="1"/>
        <v>41.008078335079304</v>
      </c>
      <c r="J26" s="81">
        <v>1000</v>
      </c>
      <c r="K26" s="82">
        <v>2.2499999999999999E-2</v>
      </c>
      <c r="L26" s="84">
        <v>2.0100000000000001E-3</v>
      </c>
      <c r="M26" s="83">
        <v>0.04</v>
      </c>
      <c r="N26" s="81">
        <v>870</v>
      </c>
    </row>
    <row r="27" spans="1:14" x14ac:dyDescent="0.25">
      <c r="A27" s="20">
        <v>10</v>
      </c>
      <c r="B27" s="81">
        <f t="shared" si="0"/>
        <v>90</v>
      </c>
      <c r="C27" s="82">
        <v>4.2500000000000003E-2</v>
      </c>
      <c r="D27" s="82">
        <v>0.04</v>
      </c>
      <c r="E27" s="83">
        <v>0.05</v>
      </c>
      <c r="F27" s="83">
        <v>0</v>
      </c>
      <c r="G27" s="80">
        <v>0.04</v>
      </c>
      <c r="H27" s="80">
        <v>0.02</v>
      </c>
      <c r="I27" s="81">
        <f t="shared" si="1"/>
        <v>41.82823990178089</v>
      </c>
      <c r="J27" s="81">
        <v>1000</v>
      </c>
      <c r="K27" s="82">
        <v>2.2499999999999999E-2</v>
      </c>
      <c r="L27" s="84">
        <v>2.2399999999999998E-3</v>
      </c>
      <c r="M27" s="83">
        <v>1</v>
      </c>
      <c r="N27" s="81">
        <v>1000</v>
      </c>
    </row>
    <row r="28" spans="1:14" x14ac:dyDescent="0.25">
      <c r="A28" s="20"/>
      <c r="B28" s="19"/>
      <c r="C28" s="23"/>
      <c r="D28" s="23"/>
      <c r="E28" s="23"/>
      <c r="F28" s="18"/>
      <c r="G28" s="18"/>
      <c r="H28" s="18"/>
      <c r="I28" s="18"/>
      <c r="J28" s="18"/>
      <c r="K28" s="25"/>
      <c r="L28" s="26"/>
    </row>
    <row r="29" spans="1:14" x14ac:dyDescent="0.25">
      <c r="A29" s="4" t="s">
        <v>171</v>
      </c>
    </row>
    <row r="31" spans="1:14" x14ac:dyDescent="0.25">
      <c r="A31" s="12" t="s">
        <v>21</v>
      </c>
      <c r="B31" s="18">
        <f>B10</f>
        <v>1000</v>
      </c>
    </row>
    <row r="32" spans="1:14" x14ac:dyDescent="0.25">
      <c r="A32" s="12" t="s">
        <v>65</v>
      </c>
      <c r="B32" s="18">
        <f>B11</f>
        <v>100</v>
      </c>
      <c r="E32" s="19"/>
    </row>
    <row r="33" spans="1:16" x14ac:dyDescent="0.25">
      <c r="B33" s="18"/>
      <c r="E33" s="19"/>
    </row>
    <row r="34" spans="1:16" x14ac:dyDescent="0.25">
      <c r="B34" s="20"/>
      <c r="C34" s="20" t="s">
        <v>23</v>
      </c>
      <c r="D34" s="20"/>
      <c r="E34" s="20"/>
      <c r="F34" s="20"/>
      <c r="G34" s="20"/>
      <c r="H34" s="20"/>
      <c r="I34" s="20"/>
      <c r="J34" s="20"/>
      <c r="K34" s="20"/>
      <c r="L34" s="20"/>
      <c r="M34" s="20"/>
    </row>
    <row r="35" spans="1:16" x14ac:dyDescent="0.25">
      <c r="A35" s="21"/>
      <c r="B35" s="20"/>
      <c r="C35" s="20" t="s">
        <v>22</v>
      </c>
      <c r="D35" s="20" t="s">
        <v>62</v>
      </c>
      <c r="E35" s="20"/>
      <c r="F35" s="20" t="s">
        <v>25</v>
      </c>
      <c r="G35" s="20" t="s">
        <v>26</v>
      </c>
      <c r="H35" s="20" t="s">
        <v>26</v>
      </c>
      <c r="I35" s="20" t="s">
        <v>26</v>
      </c>
      <c r="J35" s="20" t="s">
        <v>110</v>
      </c>
      <c r="K35" s="20"/>
      <c r="L35" s="20"/>
      <c r="M35" s="20"/>
      <c r="O35" s="12" t="s">
        <v>105</v>
      </c>
    </row>
    <row r="36" spans="1:16" x14ac:dyDescent="0.25">
      <c r="A36" s="20" t="s">
        <v>0</v>
      </c>
      <c r="B36" s="20" t="s">
        <v>4</v>
      </c>
      <c r="C36" s="20" t="s">
        <v>59</v>
      </c>
      <c r="D36" s="20" t="s">
        <v>61</v>
      </c>
      <c r="E36" s="20" t="s">
        <v>6</v>
      </c>
      <c r="F36" s="20" t="s">
        <v>6</v>
      </c>
      <c r="G36" s="20" t="s">
        <v>27</v>
      </c>
      <c r="H36" s="20" t="s">
        <v>28</v>
      </c>
      <c r="I36" s="20" t="s">
        <v>9</v>
      </c>
      <c r="J36" s="20" t="s">
        <v>111</v>
      </c>
      <c r="K36" s="20" t="s">
        <v>56</v>
      </c>
      <c r="L36" s="20" t="s">
        <v>2</v>
      </c>
      <c r="M36" s="20" t="s">
        <v>11</v>
      </c>
      <c r="N36" s="20" t="s">
        <v>60</v>
      </c>
      <c r="O36" s="21" t="s">
        <v>107</v>
      </c>
    </row>
    <row r="37" spans="1:16" x14ac:dyDescent="0.25">
      <c r="A37" s="2" t="s">
        <v>1</v>
      </c>
      <c r="B37" s="2" t="s">
        <v>58</v>
      </c>
      <c r="C37" s="2" t="s">
        <v>24</v>
      </c>
      <c r="D37" s="2" t="s">
        <v>3</v>
      </c>
      <c r="E37" s="2" t="s">
        <v>3</v>
      </c>
      <c r="F37" s="2" t="s">
        <v>3</v>
      </c>
      <c r="G37" s="2" t="s">
        <v>5</v>
      </c>
      <c r="H37" s="2" t="s">
        <v>5</v>
      </c>
      <c r="I37" s="2" t="s">
        <v>5</v>
      </c>
      <c r="J37" s="2" t="s">
        <v>5</v>
      </c>
      <c r="K37" s="2" t="s">
        <v>57</v>
      </c>
      <c r="L37" s="2" t="s">
        <v>3</v>
      </c>
      <c r="M37" s="2" t="s">
        <v>3</v>
      </c>
      <c r="N37" s="2" t="s">
        <v>58</v>
      </c>
      <c r="O37" s="2" t="s">
        <v>89</v>
      </c>
    </row>
    <row r="38" spans="1:16" x14ac:dyDescent="0.25">
      <c r="A38" s="20"/>
      <c r="N38" s="22"/>
    </row>
    <row r="39" spans="1:16" x14ac:dyDescent="0.25">
      <c r="A39" s="20">
        <v>1</v>
      </c>
      <c r="B39" s="22">
        <f>B18</f>
        <v>90</v>
      </c>
      <c r="C39" s="19">
        <f>C18</f>
        <v>4.2500000000000003E-2</v>
      </c>
      <c r="D39" s="19">
        <f t="shared" ref="D39:F39" si="2">D18</f>
        <v>0.04</v>
      </c>
      <c r="E39" s="23">
        <f t="shared" si="2"/>
        <v>0.75</v>
      </c>
      <c r="F39" s="23">
        <f t="shared" si="2"/>
        <v>0.7</v>
      </c>
      <c r="G39" s="18">
        <f t="shared" ref="G39:N39" si="3">G18</f>
        <v>200</v>
      </c>
      <c r="H39" s="18">
        <f t="shared" si="3"/>
        <v>100</v>
      </c>
      <c r="I39" s="22">
        <f t="shared" si="3"/>
        <v>35</v>
      </c>
      <c r="J39" s="22">
        <v>1000</v>
      </c>
      <c r="K39" s="19">
        <f t="shared" si="3"/>
        <v>2.2499999999999999E-2</v>
      </c>
      <c r="L39" s="24">
        <f t="shared" si="3"/>
        <v>6.3000000000000003E-4</v>
      </c>
      <c r="M39" s="23">
        <f t="shared" si="3"/>
        <v>0.15</v>
      </c>
      <c r="N39" s="22">
        <f t="shared" si="3"/>
        <v>0</v>
      </c>
      <c r="O39" s="27">
        <v>0</v>
      </c>
    </row>
    <row r="40" spans="1:16" x14ac:dyDescent="0.25">
      <c r="A40" s="20">
        <v>2</v>
      </c>
      <c r="B40" s="22">
        <f t="shared" ref="B40:C48" si="4">B19</f>
        <v>90</v>
      </c>
      <c r="C40" s="19">
        <f t="shared" si="4"/>
        <v>4.2500000000000003E-2</v>
      </c>
      <c r="D40" s="19">
        <f t="shared" ref="D40:N40" si="5">D19</f>
        <v>0.04</v>
      </c>
      <c r="E40" s="23">
        <f t="shared" si="5"/>
        <v>0.05</v>
      </c>
      <c r="F40" s="23">
        <f t="shared" si="5"/>
        <v>0</v>
      </c>
      <c r="G40" s="18">
        <f t="shared" si="5"/>
        <v>0.04</v>
      </c>
      <c r="H40" s="18">
        <f t="shared" si="5"/>
        <v>0.02</v>
      </c>
      <c r="I40" s="22">
        <f t="shared" si="5"/>
        <v>35.700000000000003</v>
      </c>
      <c r="J40" s="22">
        <v>1000</v>
      </c>
      <c r="K40" s="19">
        <f t="shared" si="5"/>
        <v>2.2499999999999999E-2</v>
      </c>
      <c r="L40" s="24">
        <f t="shared" si="5"/>
        <v>7.6999999999999996E-4</v>
      </c>
      <c r="M40" s="23">
        <f t="shared" si="5"/>
        <v>0.12</v>
      </c>
      <c r="N40" s="22">
        <f t="shared" si="5"/>
        <v>100</v>
      </c>
      <c r="O40" s="27">
        <v>0</v>
      </c>
    </row>
    <row r="41" spans="1:16" x14ac:dyDescent="0.25">
      <c r="A41" s="20">
        <v>3</v>
      </c>
      <c r="B41" s="22">
        <f t="shared" si="4"/>
        <v>90</v>
      </c>
      <c r="C41" s="19">
        <f t="shared" si="4"/>
        <v>4.2500000000000003E-2</v>
      </c>
      <c r="D41" s="19">
        <f t="shared" ref="D41:N41" si="6">D20</f>
        <v>0.04</v>
      </c>
      <c r="E41" s="23">
        <f t="shared" si="6"/>
        <v>0.05</v>
      </c>
      <c r="F41" s="23">
        <f t="shared" si="6"/>
        <v>0</v>
      </c>
      <c r="G41" s="18">
        <f t="shared" si="6"/>
        <v>0.04</v>
      </c>
      <c r="H41" s="18">
        <f t="shared" si="6"/>
        <v>0.02</v>
      </c>
      <c r="I41" s="22">
        <f t="shared" si="6"/>
        <v>36.414000000000001</v>
      </c>
      <c r="J41" s="22">
        <v>1000</v>
      </c>
      <c r="K41" s="19">
        <f t="shared" si="6"/>
        <v>2.2499999999999999E-2</v>
      </c>
      <c r="L41" s="24">
        <f t="shared" si="6"/>
        <v>9.8999999999999999E-4</v>
      </c>
      <c r="M41" s="23">
        <f t="shared" si="6"/>
        <v>0.1</v>
      </c>
      <c r="N41" s="22">
        <f t="shared" si="6"/>
        <v>210</v>
      </c>
      <c r="O41" s="27">
        <v>0</v>
      </c>
    </row>
    <row r="42" spans="1:16" x14ac:dyDescent="0.25">
      <c r="A42" s="20">
        <v>4</v>
      </c>
      <c r="B42" s="22">
        <f t="shared" si="4"/>
        <v>90</v>
      </c>
      <c r="C42" s="19">
        <f t="shared" si="4"/>
        <v>4.2500000000000003E-2</v>
      </c>
      <c r="D42" s="19">
        <f t="shared" ref="D42:N43" si="7">D21</f>
        <v>0.04</v>
      </c>
      <c r="E42" s="23">
        <f t="shared" si="7"/>
        <v>0.05</v>
      </c>
      <c r="F42" s="23">
        <f t="shared" si="7"/>
        <v>0</v>
      </c>
      <c r="G42" s="18">
        <f t="shared" si="7"/>
        <v>0.04</v>
      </c>
      <c r="H42" s="18">
        <f t="shared" si="7"/>
        <v>0.02</v>
      </c>
      <c r="I42" s="22">
        <f t="shared" si="7"/>
        <v>37.14228</v>
      </c>
      <c r="J42" s="22">
        <v>1000</v>
      </c>
      <c r="K42" s="19">
        <f t="shared" si="7"/>
        <v>2.2499999999999999E-2</v>
      </c>
      <c r="L42" s="24">
        <f t="shared" si="7"/>
        <v>1.14E-3</v>
      </c>
      <c r="M42" s="23">
        <f t="shared" si="7"/>
        <v>0.09</v>
      </c>
      <c r="N42" s="22">
        <f t="shared" si="7"/>
        <v>320</v>
      </c>
      <c r="O42" s="27">
        <v>0</v>
      </c>
    </row>
    <row r="43" spans="1:16" x14ac:dyDescent="0.25">
      <c r="A43" s="20">
        <v>5</v>
      </c>
      <c r="B43" s="22">
        <f t="shared" si="4"/>
        <v>90</v>
      </c>
      <c r="C43" s="19">
        <f t="shared" si="4"/>
        <v>4.2500000000000003E-2</v>
      </c>
      <c r="D43" s="19">
        <f t="shared" ref="D43:K43" si="8">D22</f>
        <v>0.04</v>
      </c>
      <c r="E43" s="23">
        <f t="shared" si="8"/>
        <v>0.05</v>
      </c>
      <c r="F43" s="23">
        <f t="shared" si="8"/>
        <v>0</v>
      </c>
      <c r="G43" s="18">
        <f t="shared" si="8"/>
        <v>0.04</v>
      </c>
      <c r="H43" s="18">
        <f t="shared" si="8"/>
        <v>0.02</v>
      </c>
      <c r="I43" s="22">
        <f t="shared" si="8"/>
        <v>37.885125600000002</v>
      </c>
      <c r="J43" s="22">
        <v>1000</v>
      </c>
      <c r="K43" s="19">
        <f t="shared" si="8"/>
        <v>2.2499999999999999E-2</v>
      </c>
      <c r="L43" s="24">
        <f t="shared" si="7"/>
        <v>1.2800000000000001E-3</v>
      </c>
      <c r="M43" s="23">
        <f t="shared" ref="M43:N48" si="9">M22</f>
        <v>0.08</v>
      </c>
      <c r="N43" s="22">
        <f t="shared" si="9"/>
        <v>430</v>
      </c>
      <c r="O43" s="9">
        <v>-0.05</v>
      </c>
      <c r="P43" s="27"/>
    </row>
    <row r="44" spans="1:16" x14ac:dyDescent="0.25">
      <c r="A44" s="20">
        <v>6</v>
      </c>
      <c r="B44" s="22">
        <f t="shared" si="4"/>
        <v>90</v>
      </c>
      <c r="C44" s="19">
        <v>4.4499999999999998E-2</v>
      </c>
      <c r="D44" s="19">
        <v>0.05</v>
      </c>
      <c r="E44" s="23">
        <f t="shared" ref="E44:L44" si="10">E23</f>
        <v>0.05</v>
      </c>
      <c r="F44" s="23">
        <f t="shared" si="10"/>
        <v>0</v>
      </c>
      <c r="G44" s="18">
        <f t="shared" si="10"/>
        <v>0.04</v>
      </c>
      <c r="H44" s="18">
        <f t="shared" si="10"/>
        <v>0.02</v>
      </c>
      <c r="I44" s="22">
        <f t="shared" si="10"/>
        <v>38.642828112000004</v>
      </c>
      <c r="J44" s="22">
        <v>1000</v>
      </c>
      <c r="K44" s="19">
        <f t="shared" si="10"/>
        <v>2.2499999999999999E-2</v>
      </c>
      <c r="L44" s="24">
        <f t="shared" si="10"/>
        <v>1.4E-3</v>
      </c>
      <c r="M44" s="23">
        <f t="shared" si="9"/>
        <v>7.0000000000000007E-2</v>
      </c>
      <c r="N44" s="22">
        <f t="shared" si="9"/>
        <v>540</v>
      </c>
      <c r="O44" s="9">
        <v>-0.04</v>
      </c>
      <c r="P44" s="27"/>
    </row>
    <row r="45" spans="1:16" x14ac:dyDescent="0.25">
      <c r="A45" s="20">
        <v>7</v>
      </c>
      <c r="B45" s="22">
        <f t="shared" si="4"/>
        <v>90</v>
      </c>
      <c r="C45" s="19">
        <v>4.65E-2</v>
      </c>
      <c r="D45" s="19">
        <v>0.05</v>
      </c>
      <c r="E45" s="23">
        <f t="shared" ref="E45:L45" si="11">E24</f>
        <v>0.05</v>
      </c>
      <c r="F45" s="23">
        <f t="shared" si="11"/>
        <v>0</v>
      </c>
      <c r="G45" s="18">
        <f t="shared" si="11"/>
        <v>0.04</v>
      </c>
      <c r="H45" s="18">
        <f t="shared" si="11"/>
        <v>0.02</v>
      </c>
      <c r="I45" s="22">
        <f t="shared" si="11"/>
        <v>39.415684674240005</v>
      </c>
      <c r="J45" s="22">
        <v>1000</v>
      </c>
      <c r="K45" s="19">
        <f t="shared" si="11"/>
        <v>2.2499999999999999E-2</v>
      </c>
      <c r="L45" s="24">
        <f t="shared" si="11"/>
        <v>1.58E-3</v>
      </c>
      <c r="M45" s="23">
        <f t="shared" si="9"/>
        <v>0.06</v>
      </c>
      <c r="N45" s="22">
        <f t="shared" si="9"/>
        <v>650</v>
      </c>
      <c r="O45" s="9">
        <v>-0.03</v>
      </c>
      <c r="P45" s="27"/>
    </row>
    <row r="46" spans="1:16" x14ac:dyDescent="0.25">
      <c r="A46" s="20">
        <v>8</v>
      </c>
      <c r="B46" s="22">
        <f t="shared" si="4"/>
        <v>90</v>
      </c>
      <c r="C46" s="19">
        <v>4.8500000000000001E-2</v>
      </c>
      <c r="D46" s="19">
        <v>0.05</v>
      </c>
      <c r="E46" s="23">
        <f t="shared" ref="E46:L46" si="12">E25</f>
        <v>0.05</v>
      </c>
      <c r="F46" s="23">
        <f t="shared" si="12"/>
        <v>0</v>
      </c>
      <c r="G46" s="18">
        <f t="shared" si="12"/>
        <v>0.04</v>
      </c>
      <c r="H46" s="18">
        <f t="shared" si="12"/>
        <v>0.02</v>
      </c>
      <c r="I46" s="22">
        <f t="shared" si="12"/>
        <v>40.203998367724807</v>
      </c>
      <c r="J46" s="22">
        <v>1000</v>
      </c>
      <c r="K46" s="19">
        <f t="shared" si="12"/>
        <v>2.2499999999999999E-2</v>
      </c>
      <c r="L46" s="24">
        <f t="shared" si="12"/>
        <v>1.7799999999999999E-3</v>
      </c>
      <c r="M46" s="23">
        <f t="shared" si="9"/>
        <v>0.05</v>
      </c>
      <c r="N46" s="22">
        <f t="shared" si="9"/>
        <v>760</v>
      </c>
      <c r="O46" s="9">
        <v>-0.02</v>
      </c>
      <c r="P46" s="27"/>
    </row>
    <row r="47" spans="1:16" x14ac:dyDescent="0.25">
      <c r="A47" s="20">
        <v>9</v>
      </c>
      <c r="B47" s="22">
        <f t="shared" si="4"/>
        <v>90</v>
      </c>
      <c r="C47" s="19">
        <v>5.0500000000000003E-2</v>
      </c>
      <c r="D47" s="19">
        <v>0.05</v>
      </c>
      <c r="E47" s="23">
        <f t="shared" ref="E47:L47" si="13">E26</f>
        <v>0.05</v>
      </c>
      <c r="F47" s="23">
        <f t="shared" si="13"/>
        <v>0</v>
      </c>
      <c r="G47" s="18">
        <f t="shared" si="13"/>
        <v>0.04</v>
      </c>
      <c r="H47" s="18">
        <f t="shared" si="13"/>
        <v>0.02</v>
      </c>
      <c r="I47" s="22">
        <f t="shared" si="13"/>
        <v>41.008078335079304</v>
      </c>
      <c r="J47" s="22">
        <v>1000</v>
      </c>
      <c r="K47" s="19">
        <f t="shared" si="13"/>
        <v>2.2499999999999999E-2</v>
      </c>
      <c r="L47" s="24">
        <f t="shared" si="13"/>
        <v>2.0100000000000001E-3</v>
      </c>
      <c r="M47" s="23">
        <f t="shared" si="9"/>
        <v>0.04</v>
      </c>
      <c r="N47" s="22">
        <f t="shared" si="9"/>
        <v>870</v>
      </c>
      <c r="O47" s="9">
        <v>-0.01</v>
      </c>
      <c r="P47" s="27"/>
    </row>
    <row r="48" spans="1:16" x14ac:dyDescent="0.25">
      <c r="A48" s="20" t="s">
        <v>113</v>
      </c>
      <c r="B48" s="22">
        <f t="shared" si="4"/>
        <v>90</v>
      </c>
      <c r="C48" s="19">
        <v>5.2499999999999998E-2</v>
      </c>
      <c r="D48" s="19">
        <v>0.05</v>
      </c>
      <c r="E48" s="23">
        <f t="shared" ref="E48:L48" si="14">E27</f>
        <v>0.05</v>
      </c>
      <c r="F48" s="23">
        <f t="shared" si="14"/>
        <v>0</v>
      </c>
      <c r="G48" s="18">
        <f t="shared" si="14"/>
        <v>0.04</v>
      </c>
      <c r="H48" s="18">
        <f t="shared" si="14"/>
        <v>0.02</v>
      </c>
      <c r="I48" s="22">
        <f t="shared" si="14"/>
        <v>41.82823990178089</v>
      </c>
      <c r="J48" s="22">
        <v>1000</v>
      </c>
      <c r="K48" s="19">
        <f t="shared" si="14"/>
        <v>2.2499999999999999E-2</v>
      </c>
      <c r="L48" s="24">
        <f t="shared" si="14"/>
        <v>2.2399999999999998E-3</v>
      </c>
      <c r="M48" s="23">
        <f t="shared" si="9"/>
        <v>1</v>
      </c>
      <c r="N48" s="22">
        <f t="shared" si="9"/>
        <v>1000</v>
      </c>
      <c r="O48" s="9">
        <v>0</v>
      </c>
      <c r="P48" s="27"/>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176"/>
  <sheetViews>
    <sheetView workbookViewId="0">
      <selection activeCell="F78" sqref="F78"/>
    </sheetView>
  </sheetViews>
  <sheetFormatPr defaultColWidth="8.7109375" defaultRowHeight="15" x14ac:dyDescent="0.25"/>
  <cols>
    <col min="1" max="1" width="26" style="12" customWidth="1"/>
    <col min="2" max="3" width="15.28515625" style="12" bestFit="1" customWidth="1"/>
    <col min="4" max="4" width="12.42578125" style="12" customWidth="1"/>
    <col min="5" max="5" width="12.5703125" style="12" bestFit="1" customWidth="1"/>
    <col min="6" max="6" width="11.5703125" style="12" bestFit="1" customWidth="1"/>
    <col min="7" max="7" width="13.7109375" style="12" customWidth="1"/>
    <col min="8" max="8" width="12.5703125" style="12" bestFit="1" customWidth="1"/>
    <col min="9" max="10" width="12.5703125" style="12" customWidth="1"/>
    <col min="11" max="11" width="11.5703125" style="12" customWidth="1"/>
    <col min="12" max="12" width="15.7109375" style="12" customWidth="1"/>
    <col min="13" max="13" width="11.5703125" style="12" bestFit="1" customWidth="1"/>
    <col min="14" max="14" width="13.7109375" style="12" customWidth="1"/>
    <col min="15" max="15" width="11.5703125" style="12" bestFit="1" customWidth="1"/>
    <col min="16" max="16" width="15" style="12" customWidth="1"/>
    <col min="17" max="17" width="8.7109375" style="12"/>
    <col min="18" max="18" width="12.5703125" style="12" customWidth="1"/>
    <col min="19" max="16384" width="8.7109375" style="12"/>
  </cols>
  <sheetData>
    <row r="1" spans="1:10" x14ac:dyDescent="0.25">
      <c r="A1" s="13" t="s">
        <v>146</v>
      </c>
    </row>
    <row r="2" spans="1:10" x14ac:dyDescent="0.25">
      <c r="A2" s="11" t="s">
        <v>147</v>
      </c>
    </row>
    <row r="3" spans="1:10" x14ac:dyDescent="0.25">
      <c r="A3" s="15" t="s">
        <v>148</v>
      </c>
    </row>
    <row r="4" spans="1:10" x14ac:dyDescent="0.25">
      <c r="A4" s="16" t="s">
        <v>149</v>
      </c>
    </row>
    <row r="6" spans="1:10" x14ac:dyDescent="0.25">
      <c r="A6" s="1" t="s">
        <v>29</v>
      </c>
      <c r="B6" s="1"/>
      <c r="C6" s="1"/>
      <c r="D6" s="1"/>
    </row>
    <row r="7" spans="1:10" x14ac:dyDescent="0.25">
      <c r="A7" s="1"/>
      <c r="B7" s="1"/>
      <c r="C7" s="1"/>
      <c r="D7" s="1"/>
    </row>
    <row r="8" spans="1:10" x14ac:dyDescent="0.25">
      <c r="A8" s="1" t="s">
        <v>83</v>
      </c>
      <c r="B8" s="1"/>
      <c r="C8" s="1"/>
      <c r="D8" s="1"/>
    </row>
    <row r="10" spans="1:10" x14ac:dyDescent="0.25">
      <c r="A10" s="3" t="s">
        <v>34</v>
      </c>
      <c r="B10" s="3"/>
      <c r="C10" s="3"/>
      <c r="D10" s="3"/>
    </row>
    <row r="12" spans="1:10" x14ac:dyDescent="0.25">
      <c r="A12" s="20" t="s">
        <v>0</v>
      </c>
      <c r="B12" s="20" t="s">
        <v>74</v>
      </c>
      <c r="C12" s="20" t="s">
        <v>74</v>
      </c>
      <c r="D12" s="20" t="s">
        <v>31</v>
      </c>
      <c r="F12" s="20" t="s">
        <v>75</v>
      </c>
      <c r="G12" s="20" t="s">
        <v>75</v>
      </c>
      <c r="H12" s="20" t="s">
        <v>66</v>
      </c>
      <c r="I12" s="20"/>
      <c r="J12" s="20"/>
    </row>
    <row r="13" spans="1:10" x14ac:dyDescent="0.25">
      <c r="A13" s="2" t="s">
        <v>1</v>
      </c>
      <c r="B13" s="2" t="s">
        <v>32</v>
      </c>
      <c r="C13" s="2" t="s">
        <v>33</v>
      </c>
      <c r="D13" s="2" t="s">
        <v>35</v>
      </c>
      <c r="F13" s="2" t="s">
        <v>32</v>
      </c>
      <c r="G13" s="2" t="s">
        <v>33</v>
      </c>
      <c r="H13" s="2" t="s">
        <v>35</v>
      </c>
      <c r="I13" s="2"/>
      <c r="J13" s="2"/>
    </row>
    <row r="14" spans="1:10" x14ac:dyDescent="0.25">
      <c r="D14" s="28">
        <f>Input!B10</f>
        <v>1000</v>
      </c>
      <c r="H14" s="29">
        <f>D14*Input!B$11</f>
        <v>100000</v>
      </c>
      <c r="I14" s="29"/>
      <c r="J14" s="29"/>
    </row>
    <row r="15" spans="1:10" x14ac:dyDescent="0.25">
      <c r="A15" s="12">
        <v>1</v>
      </c>
      <c r="B15" s="22">
        <f>Input!L18*'Actuarial balances'!D14</f>
        <v>0.63</v>
      </c>
      <c r="C15" s="28">
        <f>Input!M18*('Actuarial balances'!D14-'Actuarial balances'!B15)</f>
        <v>149.90549999999999</v>
      </c>
      <c r="D15" s="28">
        <f t="shared" ref="D15:D24" si="0">D14-B15-C15</f>
        <v>849.46450000000004</v>
      </c>
      <c r="F15" s="29">
        <f t="shared" ref="F15:F24" si="1">H$14/D$14*B15</f>
        <v>63</v>
      </c>
      <c r="G15" s="29">
        <f t="shared" ref="G15:G24" si="2">H$14/D$14*C15</f>
        <v>14990.55</v>
      </c>
      <c r="H15" s="29">
        <f t="shared" ref="H15:H24" si="3">H14-F15-G15</f>
        <v>84946.45</v>
      </c>
      <c r="I15" s="29"/>
      <c r="J15" s="29"/>
    </row>
    <row r="16" spans="1:10" x14ac:dyDescent="0.25">
      <c r="A16" s="12">
        <v>2</v>
      </c>
      <c r="B16" s="22">
        <f>Input!L19*'Actuarial balances'!D15</f>
        <v>0.65408766500000004</v>
      </c>
      <c r="C16" s="28">
        <f>Input!M19*('Actuarial balances'!D15-'Actuarial balances'!B16)</f>
        <v>101.8572494802</v>
      </c>
      <c r="D16" s="28">
        <f t="shared" si="0"/>
        <v>746.95316285479998</v>
      </c>
      <c r="F16" s="29">
        <f t="shared" si="1"/>
        <v>65.408766499999999</v>
      </c>
      <c r="G16" s="29">
        <f t="shared" si="2"/>
        <v>10185.724948019999</v>
      </c>
      <c r="H16" s="29">
        <f t="shared" si="3"/>
        <v>74695.316285480003</v>
      </c>
      <c r="I16" s="29"/>
      <c r="J16" s="29"/>
    </row>
    <row r="17" spans="1:23" x14ac:dyDescent="0.25">
      <c r="A17" s="12">
        <v>3</v>
      </c>
      <c r="B17" s="22">
        <f>Input!L20*'Actuarial balances'!D16</f>
        <v>0.73948363122625194</v>
      </c>
      <c r="C17" s="28">
        <f>Input!M20*('Actuarial balances'!D16-'Actuarial balances'!B17)</f>
        <v>74.621367922357379</v>
      </c>
      <c r="D17" s="28">
        <f t="shared" si="0"/>
        <v>671.59231130121634</v>
      </c>
      <c r="F17" s="29">
        <f t="shared" si="1"/>
        <v>73.948363122625196</v>
      </c>
      <c r="G17" s="29">
        <f t="shared" si="2"/>
        <v>7462.1367922357376</v>
      </c>
      <c r="H17" s="29">
        <f t="shared" si="3"/>
        <v>67159.23113012164</v>
      </c>
      <c r="I17" s="29"/>
      <c r="J17" s="29"/>
    </row>
    <row r="18" spans="1:23" x14ac:dyDescent="0.25">
      <c r="A18" s="12">
        <v>4</v>
      </c>
      <c r="B18" s="22">
        <f>Input!L21*'Actuarial balances'!D17</f>
        <v>0.76561523488338656</v>
      </c>
      <c r="C18" s="28">
        <f>Input!M21*('Actuarial balances'!D17-'Actuarial balances'!B18)</f>
        <v>60.374402645969965</v>
      </c>
      <c r="D18" s="28">
        <f t="shared" si="0"/>
        <v>610.45229342036293</v>
      </c>
      <c r="F18" s="29">
        <f t="shared" si="1"/>
        <v>76.561523488338651</v>
      </c>
      <c r="G18" s="29">
        <f t="shared" si="2"/>
        <v>6037.4402645969967</v>
      </c>
      <c r="H18" s="29">
        <f t="shared" si="3"/>
        <v>61045.229342036298</v>
      </c>
      <c r="I18" s="29"/>
      <c r="J18" s="29"/>
    </row>
    <row r="19" spans="1:23" x14ac:dyDescent="0.25">
      <c r="A19" s="12">
        <v>5</v>
      </c>
      <c r="B19" s="22">
        <f>Input!L22*'Actuarial balances'!D18</f>
        <v>0.78137893557806459</v>
      </c>
      <c r="C19" s="28">
        <f>Input!M22*('Actuarial balances'!D18-'Actuarial balances'!B19)</f>
        <v>48.773673158782785</v>
      </c>
      <c r="D19" s="28">
        <f t="shared" si="0"/>
        <v>560.89724132600202</v>
      </c>
      <c r="F19" s="29">
        <f t="shared" si="1"/>
        <v>78.137893557806464</v>
      </c>
      <c r="G19" s="29">
        <f t="shared" si="2"/>
        <v>4877.3673158782785</v>
      </c>
      <c r="H19" s="29">
        <f t="shared" si="3"/>
        <v>56089.724132600219</v>
      </c>
      <c r="I19" s="29"/>
      <c r="J19" s="29"/>
    </row>
    <row r="20" spans="1:23" x14ac:dyDescent="0.25">
      <c r="A20" s="12">
        <v>6</v>
      </c>
      <c r="B20" s="22">
        <f>Input!L23*'Actuarial balances'!D19</f>
        <v>0.7852561378564028</v>
      </c>
      <c r="C20" s="28">
        <f>Input!M23*('Actuarial balances'!D19-'Actuarial balances'!B20)</f>
        <v>39.207838963170197</v>
      </c>
      <c r="D20" s="28">
        <f t="shared" si="0"/>
        <v>520.90414622497542</v>
      </c>
      <c r="F20" s="29">
        <f t="shared" si="1"/>
        <v>78.525613785640275</v>
      </c>
      <c r="G20" s="29">
        <f t="shared" si="2"/>
        <v>3920.7838963170198</v>
      </c>
      <c r="H20" s="29">
        <f t="shared" si="3"/>
        <v>52090.414622497556</v>
      </c>
      <c r="I20" s="29"/>
      <c r="J20" s="29"/>
    </row>
    <row r="21" spans="1:23" x14ac:dyDescent="0.25">
      <c r="A21" s="12">
        <v>7</v>
      </c>
      <c r="B21" s="22">
        <f>Input!L24*'Actuarial balances'!D20</f>
        <v>0.82302855103546113</v>
      </c>
      <c r="C21" s="28">
        <f>Input!M24*('Actuarial balances'!D20-'Actuarial balances'!B21)</f>
        <v>31.204867060436396</v>
      </c>
      <c r="D21" s="28">
        <f t="shared" si="0"/>
        <v>488.87625061350354</v>
      </c>
      <c r="F21" s="29">
        <f t="shared" si="1"/>
        <v>82.302855103546108</v>
      </c>
      <c r="G21" s="29">
        <f t="shared" si="2"/>
        <v>3120.4867060436395</v>
      </c>
      <c r="H21" s="29">
        <f t="shared" si="3"/>
        <v>48887.625061350373</v>
      </c>
      <c r="I21" s="29"/>
      <c r="J21" s="29"/>
    </row>
    <row r="22" spans="1:23" x14ac:dyDescent="0.25">
      <c r="A22" s="12">
        <v>8</v>
      </c>
      <c r="B22" s="22">
        <f>Input!L25*'Actuarial balances'!D21</f>
        <v>0.87019972609203622</v>
      </c>
      <c r="C22" s="28">
        <f>Input!M25*('Actuarial balances'!D21-'Actuarial balances'!B22)</f>
        <v>24.400302544370575</v>
      </c>
      <c r="D22" s="28">
        <f t="shared" si="0"/>
        <v>463.60574834304094</v>
      </c>
      <c r="F22" s="29">
        <f t="shared" si="1"/>
        <v>87.01997260920362</v>
      </c>
      <c r="G22" s="29">
        <f t="shared" si="2"/>
        <v>2440.0302544370575</v>
      </c>
      <c r="H22" s="29">
        <f t="shared" si="3"/>
        <v>46360.574834304112</v>
      </c>
      <c r="I22" s="29"/>
      <c r="J22" s="29"/>
    </row>
    <row r="23" spans="1:23" x14ac:dyDescent="0.25">
      <c r="A23" s="12">
        <v>9</v>
      </c>
      <c r="B23" s="22">
        <f>Input!L26*'Actuarial balances'!D22</f>
        <v>0.93184755416951237</v>
      </c>
      <c r="C23" s="28">
        <f>Input!M26*('Actuarial balances'!D22-'Actuarial balances'!B23)</f>
        <v>18.506956031554857</v>
      </c>
      <c r="D23" s="28">
        <f t="shared" si="0"/>
        <v>444.16694475731657</v>
      </c>
      <c r="F23" s="29">
        <f t="shared" si="1"/>
        <v>93.184755416951234</v>
      </c>
      <c r="G23" s="29">
        <f t="shared" si="2"/>
        <v>1850.6956031554857</v>
      </c>
      <c r="H23" s="29">
        <f t="shared" si="3"/>
        <v>44416.694475731674</v>
      </c>
      <c r="I23" s="29"/>
      <c r="J23" s="29"/>
    </row>
    <row r="24" spans="1:23" x14ac:dyDescent="0.25">
      <c r="A24" s="12">
        <v>10</v>
      </c>
      <c r="B24" s="22">
        <f>Input!L27*'Actuarial balances'!D23</f>
        <v>0.99493395625638903</v>
      </c>
      <c r="C24" s="28">
        <f>Input!M27*('Actuarial balances'!D23-'Actuarial balances'!B24)</f>
        <v>443.1720108010602</v>
      </c>
      <c r="D24" s="28">
        <f t="shared" si="0"/>
        <v>0</v>
      </c>
      <c r="F24" s="29">
        <f t="shared" si="1"/>
        <v>99.493395625638897</v>
      </c>
      <c r="G24" s="29">
        <f t="shared" si="2"/>
        <v>44317.201080106017</v>
      </c>
      <c r="H24" s="29">
        <f t="shared" si="3"/>
        <v>0</v>
      </c>
      <c r="I24" s="29"/>
      <c r="J24" s="29"/>
    </row>
    <row r="25" spans="1:23" x14ac:dyDescent="0.25">
      <c r="B25" s="28"/>
      <c r="C25" s="28"/>
      <c r="D25" s="28"/>
      <c r="E25" s="28"/>
      <c r="F25" s="28"/>
      <c r="G25" s="28"/>
      <c r="H25" s="28"/>
      <c r="I25" s="28"/>
      <c r="J25" s="28"/>
    </row>
    <row r="26" spans="1:23" x14ac:dyDescent="0.25">
      <c r="A26" s="3" t="s">
        <v>67</v>
      </c>
    </row>
    <row r="28" spans="1:23" x14ac:dyDescent="0.25">
      <c r="B28" s="30"/>
    </row>
    <row r="29" spans="1:23" x14ac:dyDescent="0.25">
      <c r="C29" s="20" t="s">
        <v>71</v>
      </c>
      <c r="D29" s="20" t="s">
        <v>72</v>
      </c>
      <c r="G29" s="20"/>
      <c r="H29" s="20" t="s">
        <v>73</v>
      </c>
      <c r="I29" s="20"/>
      <c r="J29" s="20" t="s">
        <v>73</v>
      </c>
      <c r="O29" s="91"/>
      <c r="P29" s="91"/>
      <c r="Q29" s="91"/>
    </row>
    <row r="30" spans="1:23" x14ac:dyDescent="0.25">
      <c r="A30" s="20" t="s">
        <v>0</v>
      </c>
      <c r="B30" s="20" t="s">
        <v>62</v>
      </c>
      <c r="C30" s="20" t="s">
        <v>61</v>
      </c>
      <c r="D30" s="20" t="s">
        <v>61</v>
      </c>
      <c r="F30" s="20"/>
      <c r="G30" s="20" t="s">
        <v>9</v>
      </c>
      <c r="H30" s="20" t="s">
        <v>9</v>
      </c>
      <c r="I30" s="20" t="s">
        <v>112</v>
      </c>
      <c r="J30" s="20" t="s">
        <v>112</v>
      </c>
      <c r="K30" s="20" t="s">
        <v>43</v>
      </c>
      <c r="L30" s="20" t="s">
        <v>11</v>
      </c>
      <c r="M30" s="20" t="s">
        <v>18</v>
      </c>
      <c r="N30" s="20" t="s">
        <v>76</v>
      </c>
    </row>
    <row r="31" spans="1:23" x14ac:dyDescent="0.25">
      <c r="A31" s="2" t="s">
        <v>1</v>
      </c>
      <c r="B31" s="2" t="s">
        <v>70</v>
      </c>
      <c r="C31" s="2" t="s">
        <v>68</v>
      </c>
      <c r="D31" s="2" t="s">
        <v>68</v>
      </c>
      <c r="E31" s="2" t="s">
        <v>4</v>
      </c>
      <c r="F31" s="2" t="s">
        <v>69</v>
      </c>
      <c r="G31" s="2" t="s">
        <v>5</v>
      </c>
      <c r="H31" s="2" t="s">
        <v>5</v>
      </c>
      <c r="I31" s="2" t="s">
        <v>5</v>
      </c>
      <c r="J31" s="2" t="s">
        <v>5</v>
      </c>
      <c r="K31" s="2" t="s">
        <v>44</v>
      </c>
      <c r="L31" s="2" t="s">
        <v>44</v>
      </c>
      <c r="M31" s="2" t="s">
        <v>44</v>
      </c>
      <c r="N31" s="2" t="s">
        <v>44</v>
      </c>
      <c r="U31" s="3"/>
      <c r="W31" s="3"/>
    </row>
    <row r="32" spans="1:23" x14ac:dyDescent="0.25">
      <c r="A32" s="20"/>
    </row>
    <row r="33" spans="1:23" x14ac:dyDescent="0.25">
      <c r="A33" s="20">
        <v>1</v>
      </c>
      <c r="B33" s="31">
        <f>Input!D18</f>
        <v>0.04</v>
      </c>
      <c r="C33" s="32">
        <v>1</v>
      </c>
      <c r="D33" s="33">
        <f>C34</f>
        <v>0.96153846153846145</v>
      </c>
      <c r="E33" s="18">
        <f>H14*Input!B18</f>
        <v>9000000</v>
      </c>
      <c r="F33" s="18">
        <f>E33*C33</f>
        <v>9000000</v>
      </c>
      <c r="G33" s="18">
        <f>D14*Input!I18</f>
        <v>35000</v>
      </c>
      <c r="H33" s="18">
        <f>C33*G33</f>
        <v>35000</v>
      </c>
      <c r="I33" s="18">
        <f>B15*Input!J18</f>
        <v>630</v>
      </c>
      <c r="J33" s="18">
        <f>D33*I33</f>
        <v>605.76923076923072</v>
      </c>
      <c r="K33" s="18">
        <f t="shared" ref="K33:K42" si="4">F15*1000</f>
        <v>63000</v>
      </c>
      <c r="L33" s="18">
        <f>G15*Input!N18</f>
        <v>0</v>
      </c>
      <c r="M33" s="18">
        <f t="shared" ref="M33:M42" si="5">K33+L33</f>
        <v>63000</v>
      </c>
      <c r="N33" s="18">
        <f>D33*M33</f>
        <v>60576.923076923071</v>
      </c>
      <c r="U33" s="18"/>
      <c r="W33" s="34"/>
    </row>
    <row r="34" spans="1:23" x14ac:dyDescent="0.25">
      <c r="A34" s="20">
        <v>2</v>
      </c>
      <c r="B34" s="31">
        <f>Input!D19</f>
        <v>0.04</v>
      </c>
      <c r="C34" s="32">
        <f t="shared" ref="C34:C42" si="6">C33/(1+B33)</f>
        <v>0.96153846153846145</v>
      </c>
      <c r="D34" s="32">
        <f t="shared" ref="D34:D42" si="7">D33/(1+B33)</f>
        <v>0.92455621301775137</v>
      </c>
      <c r="E34" s="18">
        <f>H15*Input!B19</f>
        <v>7645180.5</v>
      </c>
      <c r="F34" s="18">
        <f t="shared" ref="F34:F42" si="8">E34*C34</f>
        <v>7351135.0961538451</v>
      </c>
      <c r="G34" s="18">
        <f>D15*Input!I19</f>
        <v>30325.882650000003</v>
      </c>
      <c r="H34" s="18">
        <f t="shared" ref="H34:H42" si="9">C34*G34</f>
        <v>29159.502548076922</v>
      </c>
      <c r="I34" s="18">
        <f>B16*Input!J19</f>
        <v>654.08766500000002</v>
      </c>
      <c r="J34" s="18">
        <f t="shared" ref="J34:J42" si="10">D34*I34</f>
        <v>604.74081453402357</v>
      </c>
      <c r="K34" s="18">
        <f t="shared" si="4"/>
        <v>65408.766499999998</v>
      </c>
      <c r="L34" s="18">
        <f>G16*Input!N19</f>
        <v>1018572.4948019999</v>
      </c>
      <c r="M34" s="18">
        <f t="shared" si="5"/>
        <v>1083981.2613019999</v>
      </c>
      <c r="N34" s="18">
        <f t="shared" ref="N34:N42" si="11">D34*M34</f>
        <v>1002201.6099315826</v>
      </c>
      <c r="U34" s="18"/>
      <c r="W34" s="34"/>
    </row>
    <row r="35" spans="1:23" x14ac:dyDescent="0.25">
      <c r="A35" s="20">
        <v>3</v>
      </c>
      <c r="B35" s="31">
        <f>Input!D20</f>
        <v>0.04</v>
      </c>
      <c r="C35" s="32">
        <f t="shared" si="6"/>
        <v>0.92455621301775137</v>
      </c>
      <c r="D35" s="32">
        <f t="shared" si="7"/>
        <v>0.88899635867091475</v>
      </c>
      <c r="E35" s="18">
        <f>H16*Input!B20</f>
        <v>6722578.4656932</v>
      </c>
      <c r="F35" s="18">
        <f t="shared" si="8"/>
        <v>6215401.6879559904</v>
      </c>
      <c r="G35" s="18">
        <f>D16*Input!I20</f>
        <v>27199.552472194689</v>
      </c>
      <c r="H35" s="18">
        <f t="shared" si="9"/>
        <v>25147.51522946994</v>
      </c>
      <c r="I35" s="18">
        <f>B17*Input!J20</f>
        <v>739.48363122625199</v>
      </c>
      <c r="J35" s="18">
        <f t="shared" si="10"/>
        <v>657.39825545688359</v>
      </c>
      <c r="K35" s="18">
        <f t="shared" si="4"/>
        <v>73948.363122625189</v>
      </c>
      <c r="L35" s="18">
        <f>G17*Input!N20</f>
        <v>1567048.7263695048</v>
      </c>
      <c r="M35" s="18">
        <f t="shared" si="5"/>
        <v>1640997.0894921301</v>
      </c>
      <c r="N35" s="18">
        <f t="shared" si="11"/>
        <v>1458840.437148073</v>
      </c>
      <c r="U35" s="18"/>
      <c r="W35" s="34"/>
    </row>
    <row r="36" spans="1:23" x14ac:dyDescent="0.25">
      <c r="A36" s="20">
        <v>4</v>
      </c>
      <c r="B36" s="31">
        <f>Input!D21</f>
        <v>0.04</v>
      </c>
      <c r="C36" s="32">
        <f t="shared" si="6"/>
        <v>0.88899635867091475</v>
      </c>
      <c r="D36" s="32">
        <f t="shared" si="7"/>
        <v>0.85480419102972571</v>
      </c>
      <c r="E36" s="18">
        <f>H17*Input!B21</f>
        <v>6044330.8017109474</v>
      </c>
      <c r="F36" s="18">
        <f t="shared" si="8"/>
        <v>5373388.0733234836</v>
      </c>
      <c r="G36" s="18">
        <f>D17*Input!I21</f>
        <v>24944.469672196941</v>
      </c>
      <c r="H36" s="18">
        <f t="shared" si="9"/>
        <v>22175.542707560147</v>
      </c>
      <c r="I36" s="18">
        <f>B18*Input!J21</f>
        <v>765.61523488338662</v>
      </c>
      <c r="J36" s="18">
        <f t="shared" si="10"/>
        <v>654.45111149452669</v>
      </c>
      <c r="K36" s="18">
        <f t="shared" si="4"/>
        <v>76561.523488338644</v>
      </c>
      <c r="L36" s="18">
        <f>G18*Input!N21</f>
        <v>1931980.8846710389</v>
      </c>
      <c r="M36" s="18">
        <f t="shared" si="5"/>
        <v>2008542.4081593775</v>
      </c>
      <c r="N36" s="18">
        <f t="shared" si="11"/>
        <v>1716910.4683555739</v>
      </c>
      <c r="U36" s="18"/>
      <c r="W36" s="34"/>
    </row>
    <row r="37" spans="1:23" x14ac:dyDescent="0.25">
      <c r="A37" s="20">
        <v>5</v>
      </c>
      <c r="B37" s="31">
        <f>Input!D22</f>
        <v>0.04</v>
      </c>
      <c r="C37" s="32">
        <f t="shared" si="6"/>
        <v>0.85480419102972571</v>
      </c>
      <c r="D37" s="32">
        <f t="shared" si="7"/>
        <v>0.82192710675935166</v>
      </c>
      <c r="E37" s="18">
        <f>H18*Input!B22</f>
        <v>5494070.6407832671</v>
      </c>
      <c r="F37" s="18">
        <f t="shared" si="8"/>
        <v>4696354.6095549073</v>
      </c>
      <c r="G37" s="18">
        <f>D18*Input!I22</f>
        <v>23127.061809038503</v>
      </c>
      <c r="H37" s="18">
        <f t="shared" si="9"/>
        <v>19769.109360569622</v>
      </c>
      <c r="I37" s="18">
        <f>B19*Input!J22</f>
        <v>781.37893557806456</v>
      </c>
      <c r="J37" s="18">
        <f t="shared" si="10"/>
        <v>642.23652780238046</v>
      </c>
      <c r="K37" s="18">
        <f t="shared" si="4"/>
        <v>78137.89355780647</v>
      </c>
      <c r="L37" s="18">
        <f>G19*Input!N22</f>
        <v>2097267.9458276597</v>
      </c>
      <c r="M37" s="18">
        <f t="shared" si="5"/>
        <v>2175405.8393854662</v>
      </c>
      <c r="N37" s="18">
        <f t="shared" si="11"/>
        <v>1788025.0275934951</v>
      </c>
      <c r="U37" s="18"/>
      <c r="W37" s="34"/>
    </row>
    <row r="38" spans="1:23" x14ac:dyDescent="0.25">
      <c r="A38" s="20">
        <v>6</v>
      </c>
      <c r="B38" s="31">
        <f>Input!D23</f>
        <v>0.04</v>
      </c>
      <c r="C38" s="32">
        <f t="shared" si="6"/>
        <v>0.82192710675935166</v>
      </c>
      <c r="D38" s="32">
        <f t="shared" si="7"/>
        <v>0.79031452573014582</v>
      </c>
      <c r="E38" s="18">
        <f>H19*Input!B23</f>
        <v>5048075.1719340198</v>
      </c>
      <c r="F38" s="18">
        <f t="shared" si="8"/>
        <v>4149149.8207714455</v>
      </c>
      <c r="G38" s="18">
        <f>D19*Input!I23</f>
        <v>21674.655685055681</v>
      </c>
      <c r="H38" s="18">
        <f t="shared" si="9"/>
        <v>17814.987037222949</v>
      </c>
      <c r="I38" s="18">
        <f>B20*Input!J23</f>
        <v>785.2561378564028</v>
      </c>
      <c r="J38" s="18">
        <f t="shared" si="10"/>
        <v>620.599332166669</v>
      </c>
      <c r="K38" s="18">
        <f t="shared" si="4"/>
        <v>78525.613785640278</v>
      </c>
      <c r="L38" s="18">
        <f>G20*Input!N23</f>
        <v>2117223.3040111908</v>
      </c>
      <c r="M38" s="18">
        <f t="shared" si="5"/>
        <v>2195748.9177968311</v>
      </c>
      <c r="N38" s="18">
        <f t="shared" si="11"/>
        <v>1735332.2645910836</v>
      </c>
      <c r="U38" s="18"/>
      <c r="W38" s="34"/>
    </row>
    <row r="39" spans="1:23" x14ac:dyDescent="0.25">
      <c r="A39" s="20">
        <v>7</v>
      </c>
      <c r="B39" s="31">
        <f>Input!D24</f>
        <v>0.04</v>
      </c>
      <c r="C39" s="32">
        <f t="shared" si="6"/>
        <v>0.79031452573014582</v>
      </c>
      <c r="D39" s="32">
        <f t="shared" si="7"/>
        <v>0.75991781320206331</v>
      </c>
      <c r="E39" s="18">
        <f>H20*Input!B24</f>
        <v>4688137.3160247803</v>
      </c>
      <c r="F39" s="18">
        <f t="shared" si="8"/>
        <v>3705103.0194719229</v>
      </c>
      <c r="G39" s="18">
        <f>D20*Input!I24</f>
        <v>20531.79357310784</v>
      </c>
      <c r="H39" s="18">
        <f t="shared" si="9"/>
        <v>16226.574700119978</v>
      </c>
      <c r="I39" s="18">
        <f>B21*Input!J24</f>
        <v>823.02855103546108</v>
      </c>
      <c r="J39" s="18">
        <f t="shared" si="10"/>
        <v>625.43405670573031</v>
      </c>
      <c r="K39" s="18">
        <f t="shared" si="4"/>
        <v>82302.855103546113</v>
      </c>
      <c r="L39" s="18">
        <f>G21*Input!N24</f>
        <v>2028316.3589283656</v>
      </c>
      <c r="M39" s="18">
        <f t="shared" si="5"/>
        <v>2110619.2140319119</v>
      </c>
      <c r="N39" s="18">
        <f t="shared" si="11"/>
        <v>1603897.1376293881</v>
      </c>
      <c r="U39" s="18"/>
      <c r="W39" s="34"/>
    </row>
    <row r="40" spans="1:23" x14ac:dyDescent="0.25">
      <c r="A40" s="20">
        <v>8</v>
      </c>
      <c r="B40" s="31">
        <f>Input!D25</f>
        <v>0.04</v>
      </c>
      <c r="C40" s="32">
        <f t="shared" si="6"/>
        <v>0.75991781320206331</v>
      </c>
      <c r="D40" s="32">
        <f t="shared" si="7"/>
        <v>0.73069020500198389</v>
      </c>
      <c r="E40" s="18">
        <f>H21*Input!B25</f>
        <v>4399886.2555215331</v>
      </c>
      <c r="F40" s="18">
        <f t="shared" si="8"/>
        <v>3343551.9416337381</v>
      </c>
      <c r="G40" s="18">
        <f>D21*Input!I25</f>
        <v>19654.779981684722</v>
      </c>
      <c r="H40" s="18">
        <f t="shared" si="9"/>
        <v>14936.017422649544</v>
      </c>
      <c r="I40" s="18">
        <f>B22*Input!J25</f>
        <v>870.19972609203626</v>
      </c>
      <c r="J40" s="18">
        <f t="shared" si="10"/>
        <v>635.84641625086022</v>
      </c>
      <c r="K40" s="18">
        <f t="shared" si="4"/>
        <v>87019.972609203614</v>
      </c>
      <c r="L40" s="18">
        <f>G22*Input!N25</f>
        <v>1854422.9933721637</v>
      </c>
      <c r="M40" s="18">
        <f t="shared" si="5"/>
        <v>1941442.9659813673</v>
      </c>
      <c r="N40" s="18">
        <f t="shared" si="11"/>
        <v>1418593.358812585</v>
      </c>
      <c r="U40" s="18"/>
      <c r="W40" s="34"/>
    </row>
    <row r="41" spans="1:23" x14ac:dyDescent="0.25">
      <c r="A41" s="20">
        <v>9</v>
      </c>
      <c r="B41" s="31">
        <f>Input!D26</f>
        <v>0.04</v>
      </c>
      <c r="C41" s="32">
        <f t="shared" si="6"/>
        <v>0.73069020500198389</v>
      </c>
      <c r="D41" s="32">
        <f t="shared" si="7"/>
        <v>0.70258673557883067</v>
      </c>
      <c r="E41" s="18">
        <f>H22*Input!B26</f>
        <v>4172451.73508737</v>
      </c>
      <c r="F41" s="18">
        <f t="shared" si="8"/>
        <v>3048769.6136718737</v>
      </c>
      <c r="G41" s="18">
        <f>D22*Input!I26</f>
        <v>19011.580844644486</v>
      </c>
      <c r="H41" s="18">
        <f t="shared" si="9"/>
        <v>13891.57590478507</v>
      </c>
      <c r="I41" s="18">
        <f>B23*Input!J26</f>
        <v>931.84755416951236</v>
      </c>
      <c r="J41" s="18">
        <f t="shared" si="10"/>
        <v>654.70373114107531</v>
      </c>
      <c r="K41" s="18">
        <f t="shared" si="4"/>
        <v>93184.75541695123</v>
      </c>
      <c r="L41" s="18">
        <f>G23*Input!N26</f>
        <v>1610105.1747452726</v>
      </c>
      <c r="M41" s="18">
        <f t="shared" si="5"/>
        <v>1703289.9301622238</v>
      </c>
      <c r="N41" s="18">
        <f t="shared" si="11"/>
        <v>1196708.9117769713</v>
      </c>
      <c r="U41" s="18"/>
      <c r="W41" s="34"/>
    </row>
    <row r="42" spans="1:23" x14ac:dyDescent="0.25">
      <c r="A42" s="20">
        <v>10</v>
      </c>
      <c r="B42" s="31">
        <f>Input!D27</f>
        <v>0.04</v>
      </c>
      <c r="C42" s="32">
        <f t="shared" si="6"/>
        <v>0.70258673557883067</v>
      </c>
      <c r="D42" s="32">
        <f t="shared" si="7"/>
        <v>0.67556416882579873</v>
      </c>
      <c r="E42" s="18">
        <f>H23*Input!B27</f>
        <v>3997502.5028158505</v>
      </c>
      <c r="F42" s="18">
        <f t="shared" si="8"/>
        <v>2808592.233921594</v>
      </c>
      <c r="G42" s="18">
        <f>D23*Input!I27</f>
        <v>18578.721521750096</v>
      </c>
      <c r="H42" s="18">
        <f t="shared" si="9"/>
        <v>13053.163305194565</v>
      </c>
      <c r="I42" s="18">
        <f>B24*Input!J27</f>
        <v>994.93395625638902</v>
      </c>
      <c r="J42" s="18">
        <f t="shared" si="10"/>
        <v>672.14173119491102</v>
      </c>
      <c r="K42" s="18">
        <f t="shared" si="4"/>
        <v>99493.395625638892</v>
      </c>
      <c r="L42" s="18">
        <f>G24*Input!N27</f>
        <v>44317201.08010602</v>
      </c>
      <c r="M42" s="18">
        <f t="shared" si="5"/>
        <v>44416694.475731656</v>
      </c>
      <c r="N42" s="18">
        <f t="shared" si="11"/>
        <v>30006327.2854871</v>
      </c>
      <c r="U42" s="18"/>
      <c r="W42" s="34"/>
    </row>
    <row r="43" spans="1:23" x14ac:dyDescent="0.25">
      <c r="B43" s="28"/>
      <c r="C43" s="28"/>
      <c r="D43" s="28"/>
      <c r="F43" s="18"/>
      <c r="G43" s="28"/>
      <c r="H43" s="28"/>
      <c r="I43" s="28"/>
      <c r="J43" s="28"/>
    </row>
    <row r="44" spans="1:23" x14ac:dyDescent="0.25">
      <c r="A44" s="20" t="s">
        <v>77</v>
      </c>
      <c r="B44" s="28"/>
      <c r="C44" s="28"/>
      <c r="D44" s="28"/>
      <c r="F44" s="18">
        <f>SUM(F33:F43)</f>
        <v>49691446.096458808</v>
      </c>
      <c r="G44" s="28"/>
      <c r="H44" s="18">
        <f>SUM(H33:H43)</f>
        <v>207173.98821564871</v>
      </c>
      <c r="I44" s="18"/>
      <c r="J44" s="18">
        <f>SUM(J33:J43)</f>
        <v>6373.3212075162901</v>
      </c>
      <c r="N44" s="34">
        <f>SUM(N33:N43)</f>
        <v>41987413.424402773</v>
      </c>
      <c r="P44" s="34"/>
    </row>
    <row r="45" spans="1:23" x14ac:dyDescent="0.25">
      <c r="A45" s="12" t="s">
        <v>78</v>
      </c>
      <c r="B45" s="28"/>
      <c r="C45" s="28"/>
      <c r="D45" s="28"/>
      <c r="G45" s="28"/>
      <c r="H45" s="23">
        <f>H44/F44</f>
        <v>4.1692082740657586E-3</v>
      </c>
      <c r="I45" s="23"/>
      <c r="J45" s="19">
        <f>J44/F44</f>
        <v>1.2825791374927357E-4</v>
      </c>
      <c r="K45" s="28"/>
      <c r="L45" s="28"/>
      <c r="N45" s="23">
        <f>N44/F44</f>
        <v>0.84496259865125856</v>
      </c>
    </row>
    <row r="46" spans="1:23" x14ac:dyDescent="0.25">
      <c r="B46" s="28"/>
      <c r="C46" s="28"/>
      <c r="D46" s="28"/>
      <c r="E46" s="28"/>
      <c r="F46" s="28"/>
      <c r="G46" s="28"/>
      <c r="H46" s="28"/>
      <c r="I46" s="28"/>
      <c r="J46" s="28"/>
    </row>
    <row r="47" spans="1:23" x14ac:dyDescent="0.25">
      <c r="A47" s="12" t="s">
        <v>79</v>
      </c>
      <c r="B47" s="28"/>
      <c r="C47" s="28"/>
      <c r="D47" s="28"/>
      <c r="E47" s="28"/>
      <c r="F47" s="35">
        <f>J45+N45</f>
        <v>0.84509085656500782</v>
      </c>
      <c r="G47" s="28"/>
      <c r="H47" s="28"/>
      <c r="I47" s="28"/>
      <c r="J47" s="28"/>
      <c r="K47" s="12" t="s">
        <v>142</v>
      </c>
    </row>
    <row r="48" spans="1:23" x14ac:dyDescent="0.25">
      <c r="B48" s="28"/>
      <c r="C48" s="28"/>
      <c r="D48" s="28"/>
      <c r="E48" s="28"/>
      <c r="F48" s="28"/>
      <c r="G48" s="28"/>
      <c r="H48" s="28"/>
      <c r="I48" s="28"/>
      <c r="J48" s="28"/>
      <c r="K48" s="12" t="s">
        <v>143</v>
      </c>
    </row>
    <row r="49" spans="1:18" x14ac:dyDescent="0.25">
      <c r="A49" s="3" t="s">
        <v>92</v>
      </c>
      <c r="B49" s="28"/>
      <c r="C49" s="28"/>
      <c r="D49" s="28"/>
      <c r="E49" s="28"/>
      <c r="F49" s="28"/>
      <c r="G49" s="28"/>
      <c r="H49" s="28" t="s">
        <v>114</v>
      </c>
      <c r="I49" s="28"/>
      <c r="J49" s="28"/>
      <c r="N49" s="12" t="s">
        <v>137</v>
      </c>
    </row>
    <row r="50" spans="1:18" x14ac:dyDescent="0.25">
      <c r="B50" s="28"/>
      <c r="C50" s="28"/>
      <c r="D50" s="28"/>
      <c r="E50" s="28"/>
      <c r="F50" s="28"/>
      <c r="G50" s="28"/>
      <c r="H50" s="28"/>
      <c r="I50" s="28"/>
      <c r="J50" s="28"/>
    </row>
    <row r="51" spans="1:18" x14ac:dyDescent="0.25">
      <c r="C51" s="20"/>
      <c r="D51" s="20"/>
      <c r="G51" s="20"/>
      <c r="H51" s="20"/>
      <c r="I51" s="20"/>
      <c r="J51" s="20"/>
    </row>
    <row r="52" spans="1:18" x14ac:dyDescent="0.25">
      <c r="A52" s="20" t="s">
        <v>0</v>
      </c>
      <c r="B52" s="20"/>
      <c r="C52" s="20" t="s">
        <v>81</v>
      </c>
      <c r="D52" s="20" t="s">
        <v>18</v>
      </c>
      <c r="E52" s="20" t="s">
        <v>112</v>
      </c>
      <c r="F52" s="20" t="s">
        <v>82</v>
      </c>
      <c r="G52" s="20"/>
      <c r="H52" s="20" t="s">
        <v>115</v>
      </c>
      <c r="I52" s="20" t="s">
        <v>116</v>
      </c>
      <c r="J52" s="20" t="s">
        <v>116</v>
      </c>
      <c r="K52" s="20" t="s">
        <v>117</v>
      </c>
      <c r="L52" s="20" t="s">
        <v>118</v>
      </c>
      <c r="M52" s="20"/>
      <c r="N52" s="20" t="s">
        <v>115</v>
      </c>
      <c r="O52" s="12" t="s">
        <v>116</v>
      </c>
      <c r="P52" s="12" t="s">
        <v>116</v>
      </c>
      <c r="Q52" s="12" t="s">
        <v>117</v>
      </c>
      <c r="R52" s="12" t="s">
        <v>118</v>
      </c>
    </row>
    <row r="53" spans="1:18" x14ac:dyDescent="0.25">
      <c r="A53" s="2" t="s">
        <v>1</v>
      </c>
      <c r="B53" s="2" t="s">
        <v>80</v>
      </c>
      <c r="C53" s="2" t="s">
        <v>64</v>
      </c>
      <c r="D53" s="2" t="s">
        <v>44</v>
      </c>
      <c r="E53" s="2" t="s">
        <v>37</v>
      </c>
      <c r="F53" s="2" t="s">
        <v>62</v>
      </c>
      <c r="G53" s="2"/>
      <c r="H53" s="2" t="s">
        <v>1</v>
      </c>
      <c r="I53" s="2" t="s">
        <v>119</v>
      </c>
      <c r="J53" s="2" t="s">
        <v>44</v>
      </c>
      <c r="K53" s="2" t="s">
        <v>37</v>
      </c>
      <c r="L53" s="2" t="s">
        <v>62</v>
      </c>
      <c r="M53" s="2"/>
      <c r="N53" s="2" t="s">
        <v>1</v>
      </c>
      <c r="O53" s="12" t="s">
        <v>119</v>
      </c>
      <c r="P53" s="12" t="s">
        <v>44</v>
      </c>
      <c r="Q53" s="12" t="s">
        <v>37</v>
      </c>
      <c r="R53" s="12" t="s">
        <v>62</v>
      </c>
    </row>
    <row r="54" spans="1:18" x14ac:dyDescent="0.25">
      <c r="A54" s="20"/>
      <c r="F54" s="18">
        <v>0</v>
      </c>
      <c r="H54" s="20">
        <v>0</v>
      </c>
      <c r="I54" s="18">
        <f>NPV($B$33,B55:B$65)*(1+$B$33)</f>
        <v>41993786.745610274</v>
      </c>
      <c r="J54" s="18">
        <f>NPV($B$33,D55:D$65)</f>
        <v>-41987413.424402766</v>
      </c>
      <c r="K54" s="18">
        <f>NPV($B$33,E55:E$65)</f>
        <v>-6373.3212075162901</v>
      </c>
      <c r="L54" s="18">
        <f>F54</f>
        <v>0</v>
      </c>
      <c r="N54" s="12">
        <v>0</v>
      </c>
      <c r="O54" s="34">
        <f>NPV(0.05,B55:B$65)*(1.05)</f>
        <v>40650128.050773352</v>
      </c>
      <c r="P54" s="34">
        <f>NPV(0.05,D55:D$65)</f>
        <v>-38636155.78239838</v>
      </c>
      <c r="Q54" s="34">
        <f>NPV(0.05,E55:E$65)</f>
        <v>-6045.5220055516656</v>
      </c>
      <c r="R54" s="34">
        <f>L54</f>
        <v>0</v>
      </c>
    </row>
    <row r="55" spans="1:18" x14ac:dyDescent="0.25">
      <c r="A55" s="20">
        <v>1</v>
      </c>
      <c r="B55" s="18">
        <f>F$47*E33</f>
        <v>7605817.7090850705</v>
      </c>
      <c r="C55" s="22">
        <f>B33*(F54+B55)</f>
        <v>304232.70836340281</v>
      </c>
      <c r="D55" s="18">
        <f>-M33</f>
        <v>-63000</v>
      </c>
      <c r="E55" s="18">
        <f>-I33</f>
        <v>-630</v>
      </c>
      <c r="F55" s="18">
        <f>F54+SUM(B55:E55)</f>
        <v>7846420.4174484732</v>
      </c>
      <c r="G55" s="18"/>
      <c r="H55" s="20">
        <v>1</v>
      </c>
      <c r="I55" s="18">
        <f>NPV($B$33,B56:B$65)*(1+$B$33)</f>
        <v>35763487.797986217</v>
      </c>
      <c r="J55" s="18">
        <f>NPV($B$33,D56:D$65)</f>
        <v>-43603909.961378887</v>
      </c>
      <c r="K55" s="18">
        <f>NPV($B$33,E56:E$65)</f>
        <v>-5998.254055816943</v>
      </c>
      <c r="L55" s="18">
        <f t="shared" ref="L55:L64" si="12">-SUM(I55:K55)</f>
        <v>7846420.4174484871</v>
      </c>
      <c r="M55" s="18"/>
      <c r="N55" s="36">
        <v>1</v>
      </c>
      <c r="O55" s="34">
        <f>NPV(0.05,B56:B$65)*(1.05)</f>
        <v>34696525.858772703</v>
      </c>
      <c r="P55" s="34">
        <f>NPV(0.05,D56:D$65)</f>
        <v>-40504963.571518302</v>
      </c>
      <c r="Q55" s="34">
        <f>NPV(0.05,E56:E$65)</f>
        <v>-5717.798105829248</v>
      </c>
      <c r="R55" s="34">
        <f t="shared" ref="R55:R64" si="13">-SUM(O55:Q55)</f>
        <v>5814155.5108514288</v>
      </c>
    </row>
    <row r="56" spans="1:18" x14ac:dyDescent="0.25">
      <c r="A56" s="20">
        <v>2</v>
      </c>
      <c r="B56" s="18">
        <f t="shared" ref="B56:B64" si="14">F$47*E34</f>
        <v>6460872.1373390947</v>
      </c>
      <c r="C56" s="22">
        <f t="shared" ref="C56:C64" si="15">B34*(F55+B56)</f>
        <v>572291.70219150279</v>
      </c>
      <c r="D56" s="18">
        <f t="shared" ref="D56:D64" si="16">-M34</f>
        <v>-1083981.2613019999</v>
      </c>
      <c r="E56" s="18">
        <f t="shared" ref="E56:E64" si="17">-I34</f>
        <v>-654.08766500000002</v>
      </c>
      <c r="F56" s="18">
        <f t="shared" ref="F56:F64" si="18">F55+SUM(B56:E56)</f>
        <v>13794948.90801207</v>
      </c>
      <c r="G56" s="18"/>
      <c r="H56" s="20">
        <v>2</v>
      </c>
      <c r="I56" s="18">
        <f>NPV($B$33,B57:B$65)*(1+$B$33)</f>
        <v>30474720.287073012</v>
      </c>
      <c r="J56" s="18">
        <f>NPV($B$33,D57:D$65)</f>
        <v>-44264085.098532036</v>
      </c>
      <c r="K56" s="18">
        <f>NPV($B$33,E57:E$65)</f>
        <v>-5584.0965530496205</v>
      </c>
      <c r="L56" s="18">
        <f t="shared" si="12"/>
        <v>13794948.908012073</v>
      </c>
      <c r="M56" s="18"/>
      <c r="N56" s="36">
        <v>2</v>
      </c>
      <c r="O56" s="34">
        <f>NPV(0.05,B57:B$65)*(1.05)</f>
        <v>29647436.407505281</v>
      </c>
      <c r="P56" s="34">
        <f>NPV(0.05,D57:D$65)</f>
        <v>-41446230.488792226</v>
      </c>
      <c r="Q56" s="34">
        <f>NPV(0.05,E57:E$65)</f>
        <v>-5349.6003461207119</v>
      </c>
      <c r="R56" s="34">
        <f t="shared" si="13"/>
        <v>11804143.681633065</v>
      </c>
    </row>
    <row r="57" spans="1:18" x14ac:dyDescent="0.25">
      <c r="A57" s="20">
        <v>3</v>
      </c>
      <c r="B57" s="18">
        <f t="shared" si="14"/>
        <v>5681189.5938981427</v>
      </c>
      <c r="C57" s="22">
        <f t="shared" si="15"/>
        <v>779045.54007640854</v>
      </c>
      <c r="D57" s="18">
        <f t="shared" si="16"/>
        <v>-1640997.0894921301</v>
      </c>
      <c r="E57" s="18">
        <f t="shared" si="17"/>
        <v>-739.48363122625199</v>
      </c>
      <c r="F57" s="18">
        <f t="shared" si="18"/>
        <v>18613447.468863264</v>
      </c>
      <c r="G57" s="18"/>
      <c r="H57" s="20">
        <v>3</v>
      </c>
      <c r="I57" s="18">
        <f>NPV($B$33,B58:B$65)*(1+$B$33)</f>
        <v>25785271.920901865</v>
      </c>
      <c r="J57" s="18">
        <f>NPV($B$33,D58:D$65)</f>
        <v>-44393651.41298119</v>
      </c>
      <c r="K57" s="18">
        <f>NPV($B$33,E58:E$65)</f>
        <v>-5067.9767839453534</v>
      </c>
      <c r="L57" s="18">
        <f t="shared" si="12"/>
        <v>18613447.468863271</v>
      </c>
      <c r="M57" s="18"/>
      <c r="N57" s="36">
        <v>3</v>
      </c>
      <c r="O57" s="34">
        <f>NPV(0.05,B58:B$65)*(1.05)</f>
        <v>25164559.154287502</v>
      </c>
      <c r="P57" s="34">
        <f>NPV(0.05,D58:D$65)</f>
        <v>-41877544.923739702</v>
      </c>
      <c r="Q57" s="34">
        <f>NPV(0.05,E58:E$65)</f>
        <v>-4877.5967322004954</v>
      </c>
      <c r="R57" s="34">
        <f t="shared" si="13"/>
        <v>16717863.3661844</v>
      </c>
    </row>
    <row r="58" spans="1:18" x14ac:dyDescent="0.25">
      <c r="A58" s="20">
        <v>4</v>
      </c>
      <c r="B58" s="18">
        <f t="shared" si="14"/>
        <v>5108008.6945801647</v>
      </c>
      <c r="C58" s="22">
        <f t="shared" si="15"/>
        <v>948858.24653773708</v>
      </c>
      <c r="D58" s="18">
        <f t="shared" si="16"/>
        <v>-2008542.4081593775</v>
      </c>
      <c r="E58" s="18">
        <f t="shared" si="17"/>
        <v>-765.61523488338662</v>
      </c>
      <c r="F58" s="18">
        <f t="shared" si="18"/>
        <v>22661006.386586905</v>
      </c>
      <c r="G58" s="18"/>
      <c r="H58" s="20">
        <v>4</v>
      </c>
      <c r="I58" s="18">
        <f>NPV($B$33,B59:B$65)*(1+$B$33)</f>
        <v>21504353.755374569</v>
      </c>
      <c r="J58" s="18">
        <f>NPV($B$33,D59:D$65)</f>
        <v>-44160855.061341062</v>
      </c>
      <c r="K58" s="18">
        <f>NPV($B$33,E59:E$65)</f>
        <v>-4505.0806204197816</v>
      </c>
      <c r="L58" s="18">
        <f t="shared" si="12"/>
        <v>22661006.386586912</v>
      </c>
      <c r="M58" s="18"/>
      <c r="N58" s="36">
        <v>4</v>
      </c>
      <c r="O58" s="34">
        <f>NPV(0.05,B59:B$65)*(1.05)</f>
        <v>21059377.9826927</v>
      </c>
      <c r="P58" s="34">
        <f>NPV(0.05,D59:D$65)</f>
        <v>-41962879.761767313</v>
      </c>
      <c r="Q58" s="34">
        <f>NPV(0.05,E59:E$65)</f>
        <v>-4355.8613339271342</v>
      </c>
      <c r="R58" s="34">
        <f t="shared" si="13"/>
        <v>20907857.640408538</v>
      </c>
    </row>
    <row r="59" spans="1:18" x14ac:dyDescent="0.25">
      <c r="A59" s="20">
        <v>5</v>
      </c>
      <c r="B59" s="18">
        <f t="shared" si="14"/>
        <v>4642988.8638481926</v>
      </c>
      <c r="C59" s="22">
        <f t="shared" si="15"/>
        <v>1092159.8100174039</v>
      </c>
      <c r="D59" s="18">
        <f t="shared" si="16"/>
        <v>-2175405.8393854662</v>
      </c>
      <c r="E59" s="18">
        <f t="shared" si="17"/>
        <v>-781.37893557806456</v>
      </c>
      <c r="F59" s="18">
        <f t="shared" si="18"/>
        <v>26219967.842131458</v>
      </c>
      <c r="G59" s="18"/>
      <c r="H59" s="20">
        <v>5</v>
      </c>
      <c r="I59" s="18">
        <f>NPV($B$33,B60:B$65)*(1+$B$33)</f>
        <v>17535819.487187434</v>
      </c>
      <c r="J59" s="18">
        <f>NPV($B$33,D60:D$65)</f>
        <v>-43751883.424409248</v>
      </c>
      <c r="K59" s="18">
        <f>NPV($B$33,E60:E$65)</f>
        <v>-3903.9049096585081</v>
      </c>
      <c r="L59" s="18">
        <f t="shared" si="12"/>
        <v>26219967.842131473</v>
      </c>
      <c r="M59" s="18"/>
      <c r="N59" s="36">
        <v>5</v>
      </c>
      <c r="O59" s="34">
        <f>NPV(0.05,B60:B$65)*(1.05)</f>
        <v>17237208.574786738</v>
      </c>
      <c r="P59" s="34">
        <f>NPV(0.05,D60:D$65)</f>
        <v>-41885617.910470217</v>
      </c>
      <c r="Q59" s="34">
        <f>NPV(0.05,E60:E$65)</f>
        <v>-3792.2754650454262</v>
      </c>
      <c r="R59" s="34">
        <f t="shared" si="13"/>
        <v>24652201.611148525</v>
      </c>
    </row>
    <row r="60" spans="1:18" x14ac:dyDescent="0.25">
      <c r="A60" s="20">
        <v>6</v>
      </c>
      <c r="B60" s="18">
        <f t="shared" si="14"/>
        <v>4266082.1710542701</v>
      </c>
      <c r="C60" s="22">
        <f t="shared" si="15"/>
        <v>1219442.0005274292</v>
      </c>
      <c r="D60" s="18">
        <f t="shared" si="16"/>
        <v>-2195748.9177968311</v>
      </c>
      <c r="E60" s="18">
        <f t="shared" si="17"/>
        <v>-785.2561378564028</v>
      </c>
      <c r="F60" s="18">
        <f t="shared" si="18"/>
        <v>29508957.839778472</v>
      </c>
      <c r="G60" s="18"/>
      <c r="H60" s="20">
        <v>6</v>
      </c>
      <c r="I60" s="18">
        <f>NPV($B$33,B61:B$65)*(1+$B$33)</f>
        <v>13800526.808778491</v>
      </c>
      <c r="J60" s="18">
        <f>NPV($B$33,D61:D$65)</f>
        <v>-43306209.843588792</v>
      </c>
      <c r="K60" s="18">
        <f>NPV($B$33,E61:E$65)</f>
        <v>-3274.8049681884454</v>
      </c>
      <c r="L60" s="18">
        <f t="shared" si="12"/>
        <v>29508957.83977849</v>
      </c>
      <c r="M60" s="18"/>
      <c r="N60" s="36">
        <v>6</v>
      </c>
      <c r="O60" s="34">
        <f>NPV(0.05,B61:B$65)*(1.05)</f>
        <v>13619682.72391909</v>
      </c>
      <c r="P60" s="34">
        <f>NPV(0.05,D61:D$65)</f>
        <v>-41784149.8881969</v>
      </c>
      <c r="Q60" s="34">
        <f>NPV(0.05,E61:E$65)</f>
        <v>-3196.6331004412955</v>
      </c>
      <c r="R60" s="34">
        <f t="shared" si="13"/>
        <v>28167663.797378253</v>
      </c>
    </row>
    <row r="61" spans="1:18" x14ac:dyDescent="0.25">
      <c r="A61" s="20">
        <v>7</v>
      </c>
      <c r="B61" s="18">
        <f t="shared" si="14"/>
        <v>3961901.9800937586</v>
      </c>
      <c r="C61" s="22">
        <f t="shared" si="15"/>
        <v>1338834.3927948892</v>
      </c>
      <c r="D61" s="18">
        <f t="shared" si="16"/>
        <v>-2110619.2140319119</v>
      </c>
      <c r="E61" s="18">
        <f t="shared" si="17"/>
        <v>-823.02855103546108</v>
      </c>
      <c r="F61" s="18">
        <f t="shared" si="18"/>
        <v>32698251.970084172</v>
      </c>
      <c r="G61" s="18"/>
      <c r="H61" s="20">
        <v>7</v>
      </c>
      <c r="I61" s="18">
        <f>NPV($B$33,B62:B$65)*(1+$B$33)</f>
        <v>10232169.82183212</v>
      </c>
      <c r="J61" s="18">
        <f>NPV($B$33,D62:D$65)</f>
        <v>-42927839.023300432</v>
      </c>
      <c r="K61" s="18">
        <f>NPV($B$33,E62:E$65)</f>
        <v>-2582.7686158805227</v>
      </c>
      <c r="L61" s="18">
        <f t="shared" si="12"/>
        <v>32698251.97008419</v>
      </c>
      <c r="M61" s="18"/>
      <c r="N61" s="36">
        <v>7</v>
      </c>
      <c r="O61" s="34">
        <f>NPV(0.05,B62:B$65)*(1.05)</f>
        <v>10140669.781016599</v>
      </c>
      <c r="P61" s="34">
        <f>NPV(0.05,D62:D$65)</f>
        <v>-41762738.16857484</v>
      </c>
      <c r="Q61" s="34">
        <f>NPV(0.05,E62:E$65)</f>
        <v>-2533.4362044278992</v>
      </c>
      <c r="R61" s="34">
        <f t="shared" si="13"/>
        <v>31624601.82376267</v>
      </c>
    </row>
    <row r="62" spans="1:18" x14ac:dyDescent="0.25">
      <c r="A62" s="20">
        <v>8</v>
      </c>
      <c r="B62" s="18">
        <f t="shared" si="14"/>
        <v>3718303.6444672975</v>
      </c>
      <c r="C62" s="22">
        <f t="shared" si="15"/>
        <v>1456662.2245820588</v>
      </c>
      <c r="D62" s="18">
        <f t="shared" si="16"/>
        <v>-1941442.9659813673</v>
      </c>
      <c r="E62" s="18">
        <f t="shared" si="17"/>
        <v>-870.19972609203626</v>
      </c>
      <c r="F62" s="18">
        <f t="shared" si="18"/>
        <v>35930904.673426069</v>
      </c>
      <c r="G62" s="18"/>
      <c r="H62" s="20">
        <v>8</v>
      </c>
      <c r="I62" s="18">
        <f>NPV($B$33,B63:B$65)*(1+$B$33)</f>
        <v>6774420.8244594168</v>
      </c>
      <c r="J62" s="18">
        <f>NPV($B$33,D63:D$65)</f>
        <v>-42703509.618251078</v>
      </c>
      <c r="K62" s="18">
        <f>NPV($B$33,E63:E$65)</f>
        <v>-1815.8796344237071</v>
      </c>
      <c r="L62" s="18">
        <f t="shared" si="12"/>
        <v>35930904.673426084</v>
      </c>
      <c r="M62" s="18"/>
      <c r="N62" s="36">
        <v>8</v>
      </c>
      <c r="O62" s="34">
        <f>NPV(0.05,B63:B$65)*(1.05)</f>
        <v>6743484.4433767665</v>
      </c>
      <c r="P62" s="34">
        <f>NPV(0.05,D63:D$65)</f>
        <v>-41909432.111022212</v>
      </c>
      <c r="Q62" s="34">
        <f>NPV(0.05,E63:E$65)</f>
        <v>-1789.9082885572582</v>
      </c>
      <c r="R62" s="34">
        <f t="shared" si="13"/>
        <v>35167737.575934008</v>
      </c>
    </row>
    <row r="63" spans="1:18" x14ac:dyDescent="0.25">
      <c r="A63" s="20">
        <v>9</v>
      </c>
      <c r="B63" s="18">
        <f t="shared" si="14"/>
        <v>3526100.8107811385</v>
      </c>
      <c r="C63" s="22">
        <f t="shared" si="15"/>
        <v>1578280.2193682883</v>
      </c>
      <c r="D63" s="18">
        <f t="shared" si="16"/>
        <v>-1703289.9301622238</v>
      </c>
      <c r="E63" s="18">
        <f t="shared" si="17"/>
        <v>-931.84755416951236</v>
      </c>
      <c r="F63" s="18">
        <f t="shared" si="18"/>
        <v>39331063.925859101</v>
      </c>
      <c r="G63" s="18"/>
      <c r="H63" s="20">
        <v>9</v>
      </c>
      <c r="I63" s="18">
        <f>NPV($B$33,B64:B$65)*(1+$B$33)</f>
        <v>3378252.8142254096</v>
      </c>
      <c r="J63" s="18">
        <f>NPV($B$33,D64:D$65)</f>
        <v>-42708360.072818898</v>
      </c>
      <c r="K63" s="18">
        <f>NPV($B$33,E64:E$65)</f>
        <v>-956.66726563114321</v>
      </c>
      <c r="L63" s="18">
        <f t="shared" si="12"/>
        <v>39331063.925859116</v>
      </c>
      <c r="M63" s="18"/>
      <c r="N63" s="36">
        <v>9</v>
      </c>
      <c r="O63" s="34">
        <f>NPV(0.05,B64:B$65)*(1.05)</f>
        <v>3378252.8142254096</v>
      </c>
      <c r="P63" s="34">
        <f>NPV(0.05,D64:D$65)</f>
        <v>-42301613.786411099</v>
      </c>
      <c r="Q63" s="34">
        <f>NPV(0.05,E64:E$65)</f>
        <v>-947.55614881560859</v>
      </c>
      <c r="R63" s="34">
        <f t="shared" si="13"/>
        <v>38924308.528334498</v>
      </c>
    </row>
    <row r="64" spans="1:18" x14ac:dyDescent="0.25">
      <c r="A64" s="20">
        <v>10</v>
      </c>
      <c r="B64" s="18">
        <f t="shared" si="14"/>
        <v>3378252.8142254096</v>
      </c>
      <c r="C64" s="22">
        <f t="shared" si="15"/>
        <v>1708372.6696033806</v>
      </c>
      <c r="D64" s="18">
        <f t="shared" si="16"/>
        <v>-44416694.475731656</v>
      </c>
      <c r="E64" s="18">
        <f t="shared" si="17"/>
        <v>-994.93395625638902</v>
      </c>
      <c r="F64" s="18">
        <f t="shared" si="18"/>
        <v>0</v>
      </c>
      <c r="G64" s="18"/>
      <c r="H64" s="20">
        <v>10</v>
      </c>
      <c r="I64" s="18">
        <f>NPV($B$33,B65:B$65)*(1+$B$33)</f>
        <v>0</v>
      </c>
      <c r="J64" s="18">
        <f>NPV($B$33,D65:D$65)</f>
        <v>0</v>
      </c>
      <c r="K64" s="18">
        <f>NPV($B$33,E65:E$65)</f>
        <v>0</v>
      </c>
      <c r="L64" s="18">
        <f t="shared" si="12"/>
        <v>0</v>
      </c>
      <c r="M64" s="18"/>
      <c r="N64" s="36">
        <v>10</v>
      </c>
      <c r="O64" s="34">
        <f>NPV(0.05,B65:B$65)*(1.05)</f>
        <v>0</v>
      </c>
      <c r="P64" s="34">
        <f>NPV(0.05,D65:D$65)</f>
        <v>0</v>
      </c>
      <c r="Q64" s="34">
        <f>NPV(0.05,E65:E$65)</f>
        <v>0</v>
      </c>
      <c r="R64" s="34">
        <f t="shared" si="13"/>
        <v>0</v>
      </c>
    </row>
    <row r="65" spans="1:10" x14ac:dyDescent="0.25">
      <c r="B65" s="28"/>
      <c r="C65" s="28"/>
      <c r="D65" s="28"/>
      <c r="E65" s="28"/>
      <c r="F65" s="28"/>
      <c r="G65" s="28"/>
      <c r="H65" s="28"/>
      <c r="I65" s="28"/>
      <c r="J65" s="28"/>
    </row>
    <row r="66" spans="1:10" x14ac:dyDescent="0.25">
      <c r="A66" s="3" t="s">
        <v>13</v>
      </c>
    </row>
    <row r="67" spans="1:10" x14ac:dyDescent="0.25">
      <c r="A67" s="3"/>
    </row>
    <row r="68" spans="1:10" x14ac:dyDescent="0.25">
      <c r="A68" s="3"/>
    </row>
    <row r="69" spans="1:10" x14ac:dyDescent="0.25">
      <c r="A69" s="3"/>
      <c r="F69" s="20" t="s">
        <v>19</v>
      </c>
    </row>
    <row r="70" spans="1:10" x14ac:dyDescent="0.25">
      <c r="B70" s="20"/>
      <c r="C70" s="20" t="s">
        <v>25</v>
      </c>
      <c r="D70" s="20" t="s">
        <v>18</v>
      </c>
      <c r="F70" s="20" t="s">
        <v>87</v>
      </c>
      <c r="G70" s="20" t="s">
        <v>19</v>
      </c>
    </row>
    <row r="71" spans="1:10" x14ac:dyDescent="0.25">
      <c r="A71" s="20" t="s">
        <v>0</v>
      </c>
      <c r="B71" s="20" t="s">
        <v>25</v>
      </c>
      <c r="C71" s="20" t="s">
        <v>36</v>
      </c>
      <c r="D71" s="20" t="s">
        <v>25</v>
      </c>
      <c r="E71" s="20" t="s">
        <v>66</v>
      </c>
      <c r="F71" s="20" t="s">
        <v>86</v>
      </c>
      <c r="G71" s="20" t="s">
        <v>85</v>
      </c>
      <c r="H71" s="20"/>
      <c r="I71" s="20"/>
      <c r="J71" s="20"/>
    </row>
    <row r="72" spans="1:10" x14ac:dyDescent="0.25">
      <c r="A72" s="2" t="s">
        <v>1</v>
      </c>
      <c r="B72" s="2" t="s">
        <v>6</v>
      </c>
      <c r="C72" s="2" t="s">
        <v>37</v>
      </c>
      <c r="D72" s="2" t="s">
        <v>37</v>
      </c>
      <c r="E72" s="2" t="s">
        <v>35</v>
      </c>
      <c r="F72" s="2" t="s">
        <v>88</v>
      </c>
      <c r="G72" s="2" t="s">
        <v>1</v>
      </c>
      <c r="H72" s="2"/>
      <c r="I72" s="2"/>
      <c r="J72" s="2"/>
    </row>
    <row r="73" spans="1:10" x14ac:dyDescent="0.25">
      <c r="E73" s="29">
        <f t="shared" ref="E73:E83" si="19">H14</f>
        <v>100000</v>
      </c>
    </row>
    <row r="74" spans="1:10" x14ac:dyDescent="0.25">
      <c r="A74" s="12">
        <v>1</v>
      </c>
      <c r="B74" s="29">
        <f>Input!F18*'Actuarial balances'!E33</f>
        <v>6300000</v>
      </c>
      <c r="C74" s="29">
        <f>Input!H18*'Actuarial balances'!D14</f>
        <v>100000</v>
      </c>
      <c r="D74" s="29">
        <f>B74+C74</f>
        <v>6400000</v>
      </c>
      <c r="E74" s="29">
        <f t="shared" si="19"/>
        <v>84946.45</v>
      </c>
      <c r="F74" s="23">
        <f t="shared" ref="F74:F83" si="20">E73/E$85</f>
        <v>0.15730906858500568</v>
      </c>
      <c r="G74" s="29">
        <f t="shared" ref="G74:G83" si="21">D$74*F74</f>
        <v>1006778.0389440364</v>
      </c>
    </row>
    <row r="75" spans="1:10" x14ac:dyDescent="0.25">
      <c r="A75" s="12">
        <v>2</v>
      </c>
      <c r="B75" s="29">
        <f>Input!F19*'Actuarial balances'!E34</f>
        <v>0</v>
      </c>
      <c r="C75" s="29">
        <v>0</v>
      </c>
      <c r="D75" s="29">
        <v>0</v>
      </c>
      <c r="E75" s="29">
        <f t="shared" si="19"/>
        <v>74695.316285480003</v>
      </c>
      <c r="F75" s="23">
        <f t="shared" si="20"/>
        <v>0.13362846929102754</v>
      </c>
      <c r="G75" s="29">
        <f t="shared" si="21"/>
        <v>855222.20346257626</v>
      </c>
    </row>
    <row r="76" spans="1:10" x14ac:dyDescent="0.25">
      <c r="A76" s="12">
        <v>3</v>
      </c>
      <c r="B76" s="29">
        <f>Input!F20*'Actuarial balances'!E35</f>
        <v>0</v>
      </c>
      <c r="C76" s="29">
        <v>0</v>
      </c>
      <c r="D76" s="29">
        <v>0</v>
      </c>
      <c r="E76" s="29">
        <f t="shared" si="19"/>
        <v>67159.23113012164</v>
      </c>
      <c r="F76" s="23">
        <f t="shared" si="20"/>
        <v>0.11750250632531264</v>
      </c>
      <c r="G76" s="29">
        <f t="shared" si="21"/>
        <v>752016.04048200091</v>
      </c>
    </row>
    <row r="77" spans="1:10" x14ac:dyDescent="0.25">
      <c r="A77" s="12">
        <v>4</v>
      </c>
      <c r="B77" s="29">
        <f>Input!F21*'Actuarial balances'!E36</f>
        <v>0</v>
      </c>
      <c r="C77" s="29">
        <v>0</v>
      </c>
      <c r="D77" s="29">
        <v>0</v>
      </c>
      <c r="E77" s="29">
        <f t="shared" si="19"/>
        <v>61045.229342036298</v>
      </c>
      <c r="F77" s="23">
        <f t="shared" si="20"/>
        <v>0.10564756095964553</v>
      </c>
      <c r="G77" s="29">
        <f t="shared" si="21"/>
        <v>676144.39014173136</v>
      </c>
    </row>
    <row r="78" spans="1:10" x14ac:dyDescent="0.25">
      <c r="A78" s="12">
        <v>5</v>
      </c>
      <c r="B78" s="29">
        <f>Input!F22*'Actuarial balances'!E37</f>
        <v>0</v>
      </c>
      <c r="C78" s="29">
        <v>0</v>
      </c>
      <c r="D78" s="29">
        <v>0</v>
      </c>
      <c r="E78" s="29">
        <f t="shared" si="19"/>
        <v>56089.724132600219</v>
      </c>
      <c r="F78" s="23">
        <f t="shared" si="20"/>
        <v>9.6029681693537886E-2</v>
      </c>
      <c r="G78" s="29">
        <f t="shared" si="21"/>
        <v>614589.96283864242</v>
      </c>
    </row>
    <row r="79" spans="1:10" x14ac:dyDescent="0.25">
      <c r="A79" s="12">
        <v>6</v>
      </c>
      <c r="B79" s="29">
        <f>Input!F23*'Actuarial balances'!E38</f>
        <v>0</v>
      </c>
      <c r="C79" s="29">
        <v>0</v>
      </c>
      <c r="D79" s="29">
        <v>0</v>
      </c>
      <c r="E79" s="29">
        <f t="shared" si="19"/>
        <v>52090.414622497556</v>
      </c>
      <c r="F79" s="23">
        <f t="shared" si="20"/>
        <v>8.8234222604892554E-2</v>
      </c>
      <c r="G79" s="29">
        <f t="shared" si="21"/>
        <v>564699.02467131231</v>
      </c>
    </row>
    <row r="80" spans="1:10" x14ac:dyDescent="0.25">
      <c r="A80" s="12">
        <v>7</v>
      </c>
      <c r="B80" s="29">
        <f>Input!F24*'Actuarial balances'!E39</f>
        <v>0</v>
      </c>
      <c r="C80" s="29">
        <v>0</v>
      </c>
      <c r="D80" s="29">
        <v>0</v>
      </c>
      <c r="E80" s="29">
        <f t="shared" si="19"/>
        <v>48887.625061350373</v>
      </c>
      <c r="F80" s="23">
        <f t="shared" si="20"/>
        <v>8.1942946064718497E-2</v>
      </c>
      <c r="G80" s="29">
        <f t="shared" si="21"/>
        <v>524434.85481419833</v>
      </c>
    </row>
    <row r="81" spans="1:7" x14ac:dyDescent="0.25">
      <c r="A81" s="12">
        <v>8</v>
      </c>
      <c r="B81" s="29">
        <f>Input!F25*'Actuarial balances'!E40</f>
        <v>0</v>
      </c>
      <c r="C81" s="29">
        <v>0</v>
      </c>
      <c r="D81" s="29">
        <v>0</v>
      </c>
      <c r="E81" s="29">
        <f t="shared" si="19"/>
        <v>46360.574834304112</v>
      </c>
      <c r="F81" s="23">
        <f t="shared" si="20"/>
        <v>7.6904667637340079E-2</v>
      </c>
      <c r="G81" s="29">
        <f t="shared" si="21"/>
        <v>492189.87287897652</v>
      </c>
    </row>
    <row r="82" spans="1:7" x14ac:dyDescent="0.25">
      <c r="A82" s="12">
        <v>9</v>
      </c>
      <c r="B82" s="29">
        <f>Input!F26*'Actuarial balances'!E41</f>
        <v>0</v>
      </c>
      <c r="C82" s="29">
        <v>0</v>
      </c>
      <c r="D82" s="29">
        <v>0</v>
      </c>
      <c r="E82" s="29">
        <f t="shared" si="19"/>
        <v>44416.694475731674</v>
      </c>
      <c r="F82" s="23">
        <f t="shared" si="20"/>
        <v>7.2929388462498329E-2</v>
      </c>
      <c r="G82" s="29">
        <f t="shared" si="21"/>
        <v>466748.0861599893</v>
      </c>
    </row>
    <row r="83" spans="1:7" x14ac:dyDescent="0.25">
      <c r="A83" s="12">
        <v>10</v>
      </c>
      <c r="B83" s="29">
        <f>Input!F27*'Actuarial balances'!E42</f>
        <v>0</v>
      </c>
      <c r="C83" s="29">
        <v>0</v>
      </c>
      <c r="D83" s="29">
        <v>0</v>
      </c>
      <c r="E83" s="29">
        <f t="shared" si="19"/>
        <v>0</v>
      </c>
      <c r="F83" s="23">
        <f t="shared" si="20"/>
        <v>6.9871488376021168E-2</v>
      </c>
      <c r="G83" s="29">
        <f t="shared" si="21"/>
        <v>447177.52560653549</v>
      </c>
    </row>
    <row r="84" spans="1:7" x14ac:dyDescent="0.25">
      <c r="B84" s="29"/>
      <c r="C84" s="29"/>
      <c r="D84" s="29"/>
      <c r="E84" s="29"/>
    </row>
    <row r="85" spans="1:7" x14ac:dyDescent="0.25">
      <c r="A85" s="20" t="s">
        <v>84</v>
      </c>
      <c r="B85" s="29"/>
      <c r="C85" s="29"/>
      <c r="D85" s="29"/>
      <c r="E85" s="29">
        <f>SUM(E73:E84)</f>
        <v>635691.25988412194</v>
      </c>
      <c r="G85" s="29"/>
    </row>
    <row r="86" spans="1:7" x14ac:dyDescent="0.25">
      <c r="B86" s="29"/>
      <c r="C86" s="29"/>
      <c r="D86" s="29"/>
      <c r="E86" s="33"/>
    </row>
    <row r="87" spans="1:7" x14ac:dyDescent="0.25">
      <c r="A87" s="3" t="s">
        <v>38</v>
      </c>
    </row>
    <row r="88" spans="1:7" x14ac:dyDescent="0.25">
      <c r="A88" s="3"/>
    </row>
    <row r="89" spans="1:7" x14ac:dyDescent="0.25">
      <c r="B89" s="20"/>
      <c r="C89" s="20"/>
      <c r="D89" s="20" t="s">
        <v>13</v>
      </c>
    </row>
    <row r="90" spans="1:7" x14ac:dyDescent="0.25">
      <c r="B90" s="2" t="s">
        <v>39</v>
      </c>
      <c r="C90" s="2" t="s">
        <v>19</v>
      </c>
      <c r="D90" s="2" t="s">
        <v>35</v>
      </c>
    </row>
    <row r="91" spans="1:7" x14ac:dyDescent="0.25">
      <c r="D91" s="29">
        <v>0</v>
      </c>
    </row>
    <row r="92" spans="1:7" x14ac:dyDescent="0.25">
      <c r="A92" s="12">
        <v>1</v>
      </c>
      <c r="B92" s="29">
        <f t="shared" ref="B92:B101" si="22">D74</f>
        <v>6400000</v>
      </c>
      <c r="C92" s="29">
        <f t="shared" ref="C92:C101" si="23">-G74</f>
        <v>-1006778.0389440364</v>
      </c>
      <c r="D92" s="29">
        <f>D91+B92+C92</f>
        <v>5393221.9610559633</v>
      </c>
    </row>
    <row r="93" spans="1:7" x14ac:dyDescent="0.25">
      <c r="A93" s="12">
        <v>2</v>
      </c>
      <c r="B93" s="29">
        <f t="shared" si="22"/>
        <v>0</v>
      </c>
      <c r="C93" s="29">
        <f t="shared" si="23"/>
        <v>-855222.20346257626</v>
      </c>
      <c r="D93" s="29">
        <f t="shared" ref="D93:D101" si="24">D92+B93+C93</f>
        <v>4537999.7575933868</v>
      </c>
    </row>
    <row r="94" spans="1:7" x14ac:dyDescent="0.25">
      <c r="A94" s="12">
        <v>3</v>
      </c>
      <c r="B94" s="29">
        <f t="shared" si="22"/>
        <v>0</v>
      </c>
      <c r="C94" s="29">
        <f t="shared" si="23"/>
        <v>-752016.04048200091</v>
      </c>
      <c r="D94" s="29">
        <f t="shared" si="24"/>
        <v>3785983.7171113859</v>
      </c>
    </row>
    <row r="95" spans="1:7" x14ac:dyDescent="0.25">
      <c r="A95" s="12">
        <v>4</v>
      </c>
      <c r="B95" s="29">
        <f t="shared" si="22"/>
        <v>0</v>
      </c>
      <c r="C95" s="29">
        <f t="shared" si="23"/>
        <v>-676144.39014173136</v>
      </c>
      <c r="D95" s="29">
        <f t="shared" si="24"/>
        <v>3109839.3269696543</v>
      </c>
    </row>
    <row r="96" spans="1:7" x14ac:dyDescent="0.25">
      <c r="A96" s="12">
        <v>5</v>
      </c>
      <c r="B96" s="29">
        <f t="shared" si="22"/>
        <v>0</v>
      </c>
      <c r="C96" s="29">
        <f t="shared" si="23"/>
        <v>-614589.96283864242</v>
      </c>
      <c r="D96" s="29">
        <f t="shared" si="24"/>
        <v>2495249.364131012</v>
      </c>
    </row>
    <row r="97" spans="1:10" x14ac:dyDescent="0.25">
      <c r="A97" s="12">
        <v>6</v>
      </c>
      <c r="B97" s="29">
        <f t="shared" si="22"/>
        <v>0</v>
      </c>
      <c r="C97" s="29">
        <f t="shared" si="23"/>
        <v>-564699.02467131231</v>
      </c>
      <c r="D97" s="29">
        <f t="shared" si="24"/>
        <v>1930550.3394596996</v>
      </c>
    </row>
    <row r="98" spans="1:10" x14ac:dyDescent="0.25">
      <c r="A98" s="12">
        <v>7</v>
      </c>
      <c r="B98" s="29">
        <f t="shared" si="22"/>
        <v>0</v>
      </c>
      <c r="C98" s="29">
        <f t="shared" si="23"/>
        <v>-524434.85481419833</v>
      </c>
      <c r="D98" s="29">
        <f t="shared" si="24"/>
        <v>1406115.4846455012</v>
      </c>
    </row>
    <row r="99" spans="1:10" x14ac:dyDescent="0.25">
      <c r="A99" s="12">
        <v>8</v>
      </c>
      <c r="B99" s="29">
        <f t="shared" si="22"/>
        <v>0</v>
      </c>
      <c r="C99" s="29">
        <f t="shared" si="23"/>
        <v>-492189.87287897652</v>
      </c>
      <c r="D99" s="29">
        <f t="shared" si="24"/>
        <v>913925.61176652473</v>
      </c>
    </row>
    <row r="100" spans="1:10" x14ac:dyDescent="0.25">
      <c r="A100" s="12">
        <v>9</v>
      </c>
      <c r="B100" s="29">
        <f t="shared" si="22"/>
        <v>0</v>
      </c>
      <c r="C100" s="29">
        <f t="shared" si="23"/>
        <v>-466748.0861599893</v>
      </c>
      <c r="D100" s="29">
        <f t="shared" si="24"/>
        <v>447177.52560653543</v>
      </c>
    </row>
    <row r="101" spans="1:10" x14ac:dyDescent="0.25">
      <c r="A101" s="12">
        <v>10</v>
      </c>
      <c r="B101" s="29">
        <f t="shared" si="22"/>
        <v>0</v>
      </c>
      <c r="C101" s="29">
        <f t="shared" si="23"/>
        <v>-447177.52560653549</v>
      </c>
      <c r="D101" s="29">
        <f t="shared" si="24"/>
        <v>0</v>
      </c>
    </row>
    <row r="102" spans="1:10" x14ac:dyDescent="0.25">
      <c r="B102" s="29"/>
      <c r="C102" s="29"/>
      <c r="D102" s="29"/>
    </row>
    <row r="103" spans="1:10" x14ac:dyDescent="0.25">
      <c r="A103" s="4" t="s">
        <v>172</v>
      </c>
      <c r="B103" s="1"/>
      <c r="C103" s="1"/>
      <c r="D103" s="1"/>
    </row>
    <row r="105" spans="1:10" x14ac:dyDescent="0.25">
      <c r="A105" s="3" t="s">
        <v>34</v>
      </c>
      <c r="B105" s="3"/>
      <c r="C105" s="3"/>
      <c r="D105" s="3"/>
    </row>
    <row r="107" spans="1:10" x14ac:dyDescent="0.25">
      <c r="A107" s="20" t="s">
        <v>0</v>
      </c>
      <c r="B107" s="20" t="s">
        <v>74</v>
      </c>
      <c r="C107" s="20" t="s">
        <v>74</v>
      </c>
      <c r="D107" s="20" t="s">
        <v>31</v>
      </c>
      <c r="F107" s="20" t="s">
        <v>75</v>
      </c>
      <c r="G107" s="20" t="s">
        <v>75</v>
      </c>
      <c r="H107" s="20" t="s">
        <v>66</v>
      </c>
      <c r="I107" s="20"/>
      <c r="J107" s="20"/>
    </row>
    <row r="108" spans="1:10" x14ac:dyDescent="0.25">
      <c r="A108" s="2" t="s">
        <v>1</v>
      </c>
      <c r="B108" s="2" t="s">
        <v>32</v>
      </c>
      <c r="C108" s="2" t="s">
        <v>33</v>
      </c>
      <c r="D108" s="2" t="s">
        <v>35</v>
      </c>
      <c r="F108" s="2" t="s">
        <v>32</v>
      </c>
      <c r="G108" s="2" t="s">
        <v>33</v>
      </c>
      <c r="H108" s="2" t="s">
        <v>35</v>
      </c>
      <c r="I108" s="2"/>
      <c r="J108" s="2"/>
    </row>
    <row r="109" spans="1:10" x14ac:dyDescent="0.25">
      <c r="D109" s="28"/>
      <c r="H109" s="29">
        <f>D109*Input!B$32</f>
        <v>0</v>
      </c>
      <c r="I109" s="29"/>
      <c r="J109" s="29"/>
    </row>
    <row r="110" spans="1:10" x14ac:dyDescent="0.25">
      <c r="A110" s="12">
        <v>1</v>
      </c>
      <c r="B110" s="28"/>
      <c r="C110" s="28"/>
      <c r="D110" s="28"/>
      <c r="E110" s="37"/>
      <c r="F110" s="29"/>
      <c r="G110" s="29"/>
      <c r="H110" s="29"/>
      <c r="I110" s="29"/>
      <c r="J110" s="29"/>
    </row>
    <row r="111" spans="1:10" x14ac:dyDescent="0.25">
      <c r="A111" s="12">
        <v>2</v>
      </c>
      <c r="B111" s="28"/>
      <c r="C111" s="28"/>
      <c r="D111" s="28"/>
      <c r="E111" s="37"/>
      <c r="F111" s="29"/>
      <c r="G111" s="29"/>
      <c r="H111" s="29"/>
      <c r="I111" s="29"/>
      <c r="J111" s="29"/>
    </row>
    <row r="112" spans="1:10" x14ac:dyDescent="0.25">
      <c r="A112" s="12">
        <v>3</v>
      </c>
      <c r="B112" s="28"/>
      <c r="C112" s="28"/>
      <c r="D112" s="28"/>
      <c r="E112" s="37"/>
      <c r="F112" s="29"/>
      <c r="G112" s="29"/>
      <c r="H112" s="29"/>
      <c r="I112" s="29"/>
      <c r="J112" s="29"/>
    </row>
    <row r="113" spans="1:14" x14ac:dyDescent="0.25">
      <c r="A113" s="12">
        <v>4</v>
      </c>
      <c r="B113" s="28"/>
      <c r="C113" s="28"/>
      <c r="D113" s="28"/>
      <c r="E113" s="37"/>
      <c r="F113" s="29"/>
      <c r="G113" s="29"/>
      <c r="H113" s="29"/>
      <c r="I113" s="29"/>
      <c r="J113" s="29"/>
    </row>
    <row r="114" spans="1:14" x14ac:dyDescent="0.25">
      <c r="A114" s="12">
        <v>5</v>
      </c>
      <c r="B114" s="28"/>
      <c r="C114" s="28"/>
      <c r="D114" s="28">
        <f>D19</f>
        <v>560.89724132600202</v>
      </c>
      <c r="E114" s="37"/>
      <c r="F114" s="29"/>
      <c r="G114" s="29"/>
      <c r="H114" s="29">
        <f>H19</f>
        <v>56089.724132600219</v>
      </c>
      <c r="I114" s="29"/>
      <c r="J114" s="29"/>
    </row>
    <row r="115" spans="1:14" x14ac:dyDescent="0.25">
      <c r="A115" s="12">
        <v>6</v>
      </c>
      <c r="B115" s="28">
        <f>Input!L44*'Actuarial balances'!D114</f>
        <v>0.7852561378564028</v>
      </c>
      <c r="C115" s="28">
        <f>Input!M44*('Actuarial balances'!D114-'Actuarial balances'!B115)</f>
        <v>39.207838963170197</v>
      </c>
      <c r="D115" s="28">
        <f t="shared" ref="D115:D119" si="25">D114-B115-C115</f>
        <v>520.90414622497542</v>
      </c>
      <c r="E115" s="37"/>
      <c r="F115" s="29">
        <f t="shared" ref="F115:F119" si="26">H$14/D$14*B115</f>
        <v>78.525613785640275</v>
      </c>
      <c r="G115" s="29">
        <f>H$14/D$14*C115</f>
        <v>3920.7838963170198</v>
      </c>
      <c r="H115" s="29">
        <f t="shared" ref="H115:H119" si="27">H114-F115-G115</f>
        <v>52090.414622497556</v>
      </c>
      <c r="I115" s="29"/>
      <c r="J115" s="29"/>
    </row>
    <row r="116" spans="1:14" x14ac:dyDescent="0.25">
      <c r="A116" s="12">
        <v>7</v>
      </c>
      <c r="B116" s="28">
        <f>Input!L45*'Actuarial balances'!D115</f>
        <v>0.82302855103546113</v>
      </c>
      <c r="C116" s="28">
        <f>Input!M45*('Actuarial balances'!D115-'Actuarial balances'!B116)</f>
        <v>31.204867060436396</v>
      </c>
      <c r="D116" s="28">
        <f t="shared" si="25"/>
        <v>488.87625061350354</v>
      </c>
      <c r="E116" s="37"/>
      <c r="F116" s="29">
        <f t="shared" si="26"/>
        <v>82.302855103546108</v>
      </c>
      <c r="G116" s="29">
        <f t="shared" ref="G116:G119" si="28">H$14/D$14*C116</f>
        <v>3120.4867060436395</v>
      </c>
      <c r="H116" s="29">
        <f t="shared" si="27"/>
        <v>48887.625061350373</v>
      </c>
      <c r="I116" s="29"/>
      <c r="J116" s="29"/>
    </row>
    <row r="117" spans="1:14" x14ac:dyDescent="0.25">
      <c r="A117" s="12">
        <v>8</v>
      </c>
      <c r="B117" s="28">
        <f>Input!L46*'Actuarial balances'!D116</f>
        <v>0.87019972609203622</v>
      </c>
      <c r="C117" s="28">
        <f>Input!M46*('Actuarial balances'!D116-'Actuarial balances'!B117)</f>
        <v>24.400302544370575</v>
      </c>
      <c r="D117" s="28">
        <f t="shared" si="25"/>
        <v>463.60574834304094</v>
      </c>
      <c r="E117" s="37"/>
      <c r="F117" s="29">
        <f t="shared" si="26"/>
        <v>87.01997260920362</v>
      </c>
      <c r="G117" s="29">
        <f t="shared" si="28"/>
        <v>2440.0302544370575</v>
      </c>
      <c r="H117" s="29">
        <f t="shared" si="27"/>
        <v>46360.574834304112</v>
      </c>
      <c r="I117" s="29"/>
      <c r="J117" s="29"/>
    </row>
    <row r="118" spans="1:14" x14ac:dyDescent="0.25">
      <c r="A118" s="12">
        <v>9</v>
      </c>
      <c r="B118" s="28">
        <f>Input!L47*'Actuarial balances'!D117</f>
        <v>0.93184755416951237</v>
      </c>
      <c r="C118" s="28">
        <f>Input!M47*('Actuarial balances'!D117-'Actuarial balances'!B118)</f>
        <v>18.506956031554857</v>
      </c>
      <c r="D118" s="28">
        <f t="shared" si="25"/>
        <v>444.16694475731657</v>
      </c>
      <c r="E118" s="37"/>
      <c r="F118" s="29">
        <f t="shared" si="26"/>
        <v>93.184755416951234</v>
      </c>
      <c r="G118" s="29">
        <f t="shared" si="28"/>
        <v>1850.6956031554857</v>
      </c>
      <c r="H118" s="29">
        <f t="shared" si="27"/>
        <v>44416.694475731674</v>
      </c>
      <c r="I118" s="29"/>
      <c r="J118" s="29"/>
    </row>
    <row r="119" spans="1:14" x14ac:dyDescent="0.25">
      <c r="A119" s="12">
        <v>10</v>
      </c>
      <c r="B119" s="28">
        <f>Input!L48*'Actuarial balances'!D118</f>
        <v>0.99493395625638903</v>
      </c>
      <c r="C119" s="28">
        <f>Input!M48*('Actuarial balances'!D118-'Actuarial balances'!B119)</f>
        <v>443.1720108010602</v>
      </c>
      <c r="D119" s="28">
        <f t="shared" si="25"/>
        <v>0</v>
      </c>
      <c r="E119" s="37"/>
      <c r="F119" s="29">
        <f t="shared" si="26"/>
        <v>99.493395625638897</v>
      </c>
      <c r="G119" s="29">
        <f t="shared" si="28"/>
        <v>44317.201080106017</v>
      </c>
      <c r="H119" s="29">
        <f t="shared" si="27"/>
        <v>0</v>
      </c>
      <c r="I119" s="29"/>
      <c r="J119" s="29"/>
    </row>
    <row r="120" spans="1:14" x14ac:dyDescent="0.25">
      <c r="B120" s="28"/>
      <c r="C120" s="28"/>
      <c r="D120" s="28"/>
      <c r="E120" s="28"/>
      <c r="F120" s="28"/>
      <c r="G120" s="28"/>
      <c r="H120" s="28"/>
      <c r="I120" s="28"/>
      <c r="J120" s="28"/>
    </row>
    <row r="121" spans="1:14" x14ac:dyDescent="0.25">
      <c r="A121" s="3" t="s">
        <v>90</v>
      </c>
    </row>
    <row r="123" spans="1:14" x14ac:dyDescent="0.25">
      <c r="B123" s="30"/>
    </row>
    <row r="124" spans="1:14" x14ac:dyDescent="0.25">
      <c r="C124" s="20" t="s">
        <v>71</v>
      </c>
      <c r="D124" s="20" t="s">
        <v>72</v>
      </c>
      <c r="E124" s="20"/>
      <c r="F124" s="20" t="s">
        <v>73</v>
      </c>
      <c r="G124" s="20"/>
      <c r="H124" s="20" t="s">
        <v>73</v>
      </c>
    </row>
    <row r="125" spans="1:14" x14ac:dyDescent="0.25">
      <c r="A125" s="20" t="s">
        <v>0</v>
      </c>
      <c r="B125" s="20" t="s">
        <v>62</v>
      </c>
      <c r="C125" s="20" t="s">
        <v>61</v>
      </c>
      <c r="D125" s="20" t="s">
        <v>61</v>
      </c>
      <c r="E125" s="20" t="s">
        <v>9</v>
      </c>
      <c r="F125" s="20" t="s">
        <v>9</v>
      </c>
      <c r="G125" s="20" t="s">
        <v>112</v>
      </c>
      <c r="H125" s="20" t="s">
        <v>112</v>
      </c>
      <c r="I125" s="20" t="s">
        <v>43</v>
      </c>
      <c r="J125" s="20" t="s">
        <v>11</v>
      </c>
      <c r="K125" s="20" t="s">
        <v>18</v>
      </c>
      <c r="L125" s="20" t="s">
        <v>76</v>
      </c>
      <c r="M125" s="20" t="s">
        <v>46</v>
      </c>
      <c r="N125" s="20" t="s">
        <v>91</v>
      </c>
    </row>
    <row r="126" spans="1:14" x14ac:dyDescent="0.25">
      <c r="A126" s="2" t="s">
        <v>1</v>
      </c>
      <c r="B126" s="2" t="s">
        <v>70</v>
      </c>
      <c r="C126" s="2" t="s">
        <v>68</v>
      </c>
      <c r="D126" s="2" t="s">
        <v>68</v>
      </c>
      <c r="E126" s="2" t="s">
        <v>5</v>
      </c>
      <c r="F126" s="2" t="s">
        <v>5</v>
      </c>
      <c r="G126" s="2" t="s">
        <v>5</v>
      </c>
      <c r="H126" s="2" t="s">
        <v>5</v>
      </c>
      <c r="I126" s="2" t="s">
        <v>44</v>
      </c>
      <c r="J126" s="2" t="s">
        <v>44</v>
      </c>
      <c r="K126" s="2" t="s">
        <v>44</v>
      </c>
      <c r="L126" s="2" t="s">
        <v>44</v>
      </c>
      <c r="M126" s="2" t="s">
        <v>4</v>
      </c>
      <c r="N126" s="2" t="s">
        <v>4</v>
      </c>
    </row>
    <row r="127" spans="1:14" x14ac:dyDescent="0.25">
      <c r="A127" s="20"/>
    </row>
    <row r="128" spans="1:14" x14ac:dyDescent="0.25">
      <c r="A128" s="20">
        <v>1</v>
      </c>
      <c r="B128" s="31"/>
      <c r="C128" s="32"/>
      <c r="D128" s="33"/>
      <c r="E128" s="18"/>
      <c r="F128" s="18"/>
      <c r="G128" s="18"/>
      <c r="H128" s="18"/>
      <c r="I128" s="18"/>
      <c r="J128" s="18"/>
      <c r="K128" s="18"/>
      <c r="L128" s="18"/>
      <c r="M128" s="18"/>
      <c r="N128" s="18">
        <f t="shared" ref="N128:N137" si="29">M128*C128</f>
        <v>0</v>
      </c>
    </row>
    <row r="129" spans="1:16" x14ac:dyDescent="0.25">
      <c r="A129" s="20">
        <v>2</v>
      </c>
      <c r="B129" s="31"/>
      <c r="C129" s="32"/>
      <c r="D129" s="32"/>
      <c r="E129" s="18"/>
      <c r="F129" s="18"/>
      <c r="G129" s="18"/>
      <c r="H129" s="18"/>
      <c r="I129" s="18"/>
      <c r="J129" s="18"/>
      <c r="K129" s="18"/>
      <c r="L129" s="18"/>
      <c r="M129" s="18"/>
      <c r="N129" s="18">
        <f t="shared" si="29"/>
        <v>0</v>
      </c>
    </row>
    <row r="130" spans="1:16" x14ac:dyDescent="0.25">
      <c r="A130" s="20">
        <v>3</v>
      </c>
      <c r="B130" s="31"/>
      <c r="C130" s="32"/>
      <c r="D130" s="32"/>
      <c r="E130" s="18"/>
      <c r="F130" s="18"/>
      <c r="G130" s="18"/>
      <c r="H130" s="18"/>
      <c r="I130" s="18"/>
      <c r="J130" s="18"/>
      <c r="K130" s="18"/>
      <c r="L130" s="18"/>
      <c r="M130" s="18"/>
      <c r="N130" s="18">
        <f t="shared" si="29"/>
        <v>0</v>
      </c>
    </row>
    <row r="131" spans="1:16" x14ac:dyDescent="0.25">
      <c r="A131" s="20">
        <v>4</v>
      </c>
      <c r="B131" s="31"/>
      <c r="C131" s="32"/>
      <c r="D131" s="32"/>
      <c r="E131" s="18"/>
      <c r="F131" s="18"/>
      <c r="G131" s="18"/>
      <c r="H131" s="18"/>
      <c r="I131" s="18"/>
      <c r="J131" s="18"/>
      <c r="K131" s="18"/>
      <c r="L131" s="18"/>
      <c r="M131" s="18"/>
      <c r="N131" s="18">
        <f t="shared" si="29"/>
        <v>0</v>
      </c>
    </row>
    <row r="132" spans="1:16" x14ac:dyDescent="0.25">
      <c r="A132" s="20">
        <v>5</v>
      </c>
      <c r="B132" s="31"/>
      <c r="C132" s="32"/>
      <c r="D132" s="32"/>
      <c r="E132" s="18"/>
      <c r="F132" s="18"/>
      <c r="G132" s="18"/>
      <c r="H132" s="18"/>
      <c r="I132" s="18"/>
      <c r="J132" s="18"/>
      <c r="K132" s="18"/>
      <c r="L132" s="18"/>
      <c r="M132" s="18"/>
      <c r="N132" s="18">
        <f t="shared" si="29"/>
        <v>0</v>
      </c>
    </row>
    <row r="133" spans="1:16" x14ac:dyDescent="0.25">
      <c r="A133" s="20">
        <v>6</v>
      </c>
      <c r="B133" s="31">
        <f>Input!D44</f>
        <v>0.05</v>
      </c>
      <c r="C133" s="32">
        <v>1</v>
      </c>
      <c r="D133" s="32">
        <f>1/(1+B133)</f>
        <v>0.95238095238095233</v>
      </c>
      <c r="E133" s="18">
        <f>D114*Input!I44</f>
        <v>21674.655685055681</v>
      </c>
      <c r="F133" s="18">
        <f>C133*E133</f>
        <v>21674.655685055681</v>
      </c>
      <c r="G133" s="18">
        <f>B115*Input!J44</f>
        <v>785.2561378564028</v>
      </c>
      <c r="H133" s="18">
        <f>G133*D133</f>
        <v>747.86298843466932</v>
      </c>
      <c r="I133" s="18">
        <f>F115*1000</f>
        <v>78525.613785640278</v>
      </c>
      <c r="J133" s="18">
        <f>G115*Input!N44</f>
        <v>2117223.3040111908</v>
      </c>
      <c r="K133" s="18">
        <f>I133+J133</f>
        <v>2195748.9177968311</v>
      </c>
      <c r="L133" s="18">
        <f>D133*K133</f>
        <v>2091189.4455207915</v>
      </c>
      <c r="M133" s="18">
        <f>B60</f>
        <v>4266082.1710542701</v>
      </c>
      <c r="N133" s="18">
        <f t="shared" si="29"/>
        <v>4266082.1710542701</v>
      </c>
    </row>
    <row r="134" spans="1:16" x14ac:dyDescent="0.25">
      <c r="A134" s="20">
        <v>7</v>
      </c>
      <c r="B134" s="31">
        <f>Input!D45</f>
        <v>0.05</v>
      </c>
      <c r="C134" s="32">
        <f t="shared" ref="C134:C137" si="30">C133/(1+B133)</f>
        <v>0.95238095238095233</v>
      </c>
      <c r="D134" s="32">
        <f t="shared" ref="D134:D137" si="31">D133/(1+B133)</f>
        <v>0.90702947845804982</v>
      </c>
      <c r="E134" s="18">
        <f>D115*Input!I45</f>
        <v>20531.79357310784</v>
      </c>
      <c r="F134" s="18">
        <f>C134*E134</f>
        <v>19554.089117245559</v>
      </c>
      <c r="G134" s="18">
        <f>B116*Input!J45</f>
        <v>823.02855103546108</v>
      </c>
      <c r="H134" s="18">
        <f t="shared" ref="H134:H137" si="32">G134*D134</f>
        <v>746.51115740177875</v>
      </c>
      <c r="I134" s="18">
        <f>F116*1000</f>
        <v>82302.855103546113</v>
      </c>
      <c r="J134" s="18">
        <f>G116*Input!N45</f>
        <v>2028316.3589283656</v>
      </c>
      <c r="K134" s="18">
        <f>I134+J134</f>
        <v>2110619.2140319119</v>
      </c>
      <c r="L134" s="18">
        <f>D134*K134</f>
        <v>1914393.8449269042</v>
      </c>
      <c r="M134" s="18">
        <f>B61</f>
        <v>3961901.9800937586</v>
      </c>
      <c r="N134" s="18">
        <f t="shared" si="29"/>
        <v>3773239.9810416745</v>
      </c>
    </row>
    <row r="135" spans="1:16" x14ac:dyDescent="0.25">
      <c r="A135" s="20">
        <v>8</v>
      </c>
      <c r="B135" s="31">
        <f>Input!D46</f>
        <v>0.05</v>
      </c>
      <c r="C135" s="32">
        <f t="shared" si="30"/>
        <v>0.90702947845804982</v>
      </c>
      <c r="D135" s="32">
        <f t="shared" si="31"/>
        <v>0.86383759853147601</v>
      </c>
      <c r="E135" s="18">
        <f>D116*Input!I46</f>
        <v>19654.779981684722</v>
      </c>
      <c r="F135" s="18">
        <f>C135*E135</f>
        <v>17827.464835995212</v>
      </c>
      <c r="G135" s="18">
        <f>B117*Input!J46</f>
        <v>870.19972609203626</v>
      </c>
      <c r="H135" s="18">
        <f t="shared" si="32"/>
        <v>751.71124163009279</v>
      </c>
      <c r="I135" s="18">
        <f>F117*1000</f>
        <v>87019.972609203614</v>
      </c>
      <c r="J135" s="18">
        <f>G117*Input!N46</f>
        <v>1854422.9933721637</v>
      </c>
      <c r="K135" s="18">
        <f>I135+J135</f>
        <v>1941442.9659813673</v>
      </c>
      <c r="L135" s="18">
        <f>D135*K135</f>
        <v>1677091.4294191704</v>
      </c>
      <c r="M135" s="18">
        <f>B62</f>
        <v>3718303.6444672975</v>
      </c>
      <c r="N135" s="18">
        <f t="shared" si="29"/>
        <v>3372611.0153898387</v>
      </c>
    </row>
    <row r="136" spans="1:16" x14ac:dyDescent="0.25">
      <c r="A136" s="20">
        <v>9</v>
      </c>
      <c r="B136" s="31">
        <f>Input!D47</f>
        <v>0.05</v>
      </c>
      <c r="C136" s="32">
        <f t="shared" si="30"/>
        <v>0.86383759853147601</v>
      </c>
      <c r="D136" s="32">
        <f t="shared" si="31"/>
        <v>0.82270247479188185</v>
      </c>
      <c r="E136" s="18">
        <f>D117*Input!I47</f>
        <v>19011.580844644486</v>
      </c>
      <c r="F136" s="18">
        <f>C136*E136</f>
        <v>16422.918341124703</v>
      </c>
      <c r="G136" s="18">
        <f>B118*Input!J47</f>
        <v>931.84755416951236</v>
      </c>
      <c r="H136" s="18">
        <f t="shared" si="32"/>
        <v>766.63328894402002</v>
      </c>
      <c r="I136" s="18">
        <f>F118*1000</f>
        <v>93184.75541695123</v>
      </c>
      <c r="J136" s="18">
        <f>G118*Input!N47</f>
        <v>1610105.1747452726</v>
      </c>
      <c r="K136" s="18">
        <f>I136+J136</f>
        <v>1703289.9301622238</v>
      </c>
      <c r="L136" s="18">
        <f>D136*K136</f>
        <v>1401300.8408325531</v>
      </c>
      <c r="M136" s="18">
        <f>B63</f>
        <v>3526100.8107811385</v>
      </c>
      <c r="N136" s="18">
        <f t="shared" si="29"/>
        <v>3045978.456565069</v>
      </c>
    </row>
    <row r="137" spans="1:16" x14ac:dyDescent="0.25">
      <c r="A137" s="20">
        <v>10</v>
      </c>
      <c r="B137" s="31">
        <f>Input!D48</f>
        <v>0.05</v>
      </c>
      <c r="C137" s="32">
        <f t="shared" si="30"/>
        <v>0.82270247479188185</v>
      </c>
      <c r="D137" s="32">
        <f t="shared" si="31"/>
        <v>0.78352616646845885</v>
      </c>
      <c r="E137" s="18">
        <f>D118*Input!I48</f>
        <v>18578.721521750096</v>
      </c>
      <c r="F137" s="18">
        <f>C137*E137</f>
        <v>15284.760174413001</v>
      </c>
      <c r="G137" s="18">
        <f>B119*Input!J48</f>
        <v>994.93395625638902</v>
      </c>
      <c r="H137" s="18">
        <f t="shared" si="32"/>
        <v>779.55678863486582</v>
      </c>
      <c r="I137" s="18">
        <f>F119*1000</f>
        <v>99493.395625638892</v>
      </c>
      <c r="J137" s="18">
        <f>G119*Input!N48</f>
        <v>44317201.08010602</v>
      </c>
      <c r="K137" s="18">
        <f>I137+J137</f>
        <v>44416694.475731656</v>
      </c>
      <c r="L137" s="18">
        <f>D137*K137</f>
        <v>34801642.349770799</v>
      </c>
      <c r="M137" s="18">
        <f>B64</f>
        <v>3378252.8142254096</v>
      </c>
      <c r="N137" s="18">
        <f t="shared" si="29"/>
        <v>2779296.9507358838</v>
      </c>
    </row>
    <row r="138" spans="1:16" x14ac:dyDescent="0.25">
      <c r="B138" s="28"/>
      <c r="C138" s="28"/>
      <c r="D138" s="28"/>
      <c r="E138" s="28"/>
      <c r="F138" s="28"/>
      <c r="G138" s="28"/>
      <c r="H138" s="28"/>
      <c r="N138" s="18"/>
    </row>
    <row r="139" spans="1:16" x14ac:dyDescent="0.25">
      <c r="A139" s="20" t="s">
        <v>77</v>
      </c>
      <c r="B139" s="28"/>
      <c r="C139" s="28"/>
      <c r="D139" s="28"/>
      <c r="E139" s="28"/>
      <c r="F139" s="18">
        <f>SUM(F128:F138)</f>
        <v>90763.888153834152</v>
      </c>
      <c r="G139" s="18"/>
      <c r="H139" s="18">
        <f>SUM(H128:H138)</f>
        <v>3792.2754650454267</v>
      </c>
      <c r="L139" s="34">
        <f>SUM(L128:L138)</f>
        <v>41885617.910470217</v>
      </c>
      <c r="N139" s="18">
        <f>SUM(N128:N138)</f>
        <v>17237208.574786738</v>
      </c>
    </row>
    <row r="140" spans="1:16" x14ac:dyDescent="0.25">
      <c r="A140" s="12" t="s">
        <v>139</v>
      </c>
      <c r="B140" s="28"/>
      <c r="C140" s="28"/>
      <c r="D140" s="28"/>
      <c r="E140" s="28"/>
      <c r="F140" s="23"/>
      <c r="G140" s="23"/>
      <c r="H140" s="19"/>
      <c r="I140" s="28"/>
      <c r="J140" s="28"/>
      <c r="L140" s="23"/>
      <c r="N140" s="34">
        <f>H139+L139-N139</f>
        <v>24652201.611148529</v>
      </c>
    </row>
    <row r="141" spans="1:16" x14ac:dyDescent="0.25">
      <c r="B141" s="28"/>
      <c r="C141" s="28"/>
      <c r="D141" s="28"/>
      <c r="G141" s="28"/>
      <c r="H141" s="28"/>
      <c r="I141" s="28"/>
      <c r="J141" s="28"/>
      <c r="O141" s="28"/>
      <c r="P141" s="28"/>
    </row>
    <row r="142" spans="1:16" x14ac:dyDescent="0.25">
      <c r="A142" s="3" t="s">
        <v>138</v>
      </c>
    </row>
    <row r="143" spans="1:16" x14ac:dyDescent="0.25">
      <c r="A143" s="3"/>
    </row>
    <row r="144" spans="1:16" x14ac:dyDescent="0.25">
      <c r="B144" s="20" t="s">
        <v>82</v>
      </c>
      <c r="C144" s="38" t="s">
        <v>95</v>
      </c>
      <c r="D144" s="38" t="s">
        <v>102</v>
      </c>
      <c r="E144" s="39"/>
    </row>
    <row r="145" spans="1:8" x14ac:dyDescent="0.25">
      <c r="B145" s="20" t="s">
        <v>62</v>
      </c>
      <c r="C145" s="20" t="s">
        <v>82</v>
      </c>
      <c r="D145" s="20" t="s">
        <v>82</v>
      </c>
    </row>
    <row r="146" spans="1:8" x14ac:dyDescent="0.25">
      <c r="A146" s="20" t="s">
        <v>0</v>
      </c>
      <c r="B146" s="20" t="s">
        <v>93</v>
      </c>
      <c r="C146" s="20" t="s">
        <v>62</v>
      </c>
      <c r="D146" s="20" t="s">
        <v>97</v>
      </c>
      <c r="E146" s="20"/>
    </row>
    <row r="147" spans="1:8" x14ac:dyDescent="0.25">
      <c r="A147" s="2" t="s">
        <v>1</v>
      </c>
      <c r="B147" s="2" t="s">
        <v>94</v>
      </c>
      <c r="C147" s="2" t="s">
        <v>96</v>
      </c>
      <c r="D147" s="2" t="s">
        <v>62</v>
      </c>
      <c r="E147" s="2"/>
    </row>
    <row r="148" spans="1:8" x14ac:dyDescent="0.25">
      <c r="A148" s="20"/>
      <c r="F148" s="40"/>
      <c r="G148" s="2"/>
    </row>
    <row r="149" spans="1:8" x14ac:dyDescent="0.25">
      <c r="A149" s="20">
        <v>1</v>
      </c>
      <c r="B149" s="40"/>
      <c r="C149" s="41"/>
      <c r="D149" s="40"/>
      <c r="E149" s="40"/>
      <c r="F149" s="40"/>
      <c r="G149" s="34"/>
      <c r="H149" s="40"/>
    </row>
    <row r="150" spans="1:8" x14ac:dyDescent="0.25">
      <c r="A150" s="20">
        <v>2</v>
      </c>
      <c r="B150" s="40"/>
      <c r="C150" s="41"/>
      <c r="D150" s="40"/>
      <c r="E150" s="40"/>
      <c r="F150" s="40"/>
      <c r="G150" s="34"/>
      <c r="H150" s="40"/>
    </row>
    <row r="151" spans="1:8" x14ac:dyDescent="0.25">
      <c r="A151" s="20">
        <v>3</v>
      </c>
      <c r="B151" s="40"/>
      <c r="C151" s="41"/>
      <c r="D151" s="40"/>
      <c r="E151" s="40"/>
      <c r="F151" s="40"/>
      <c r="G151" s="34"/>
      <c r="H151" s="40"/>
    </row>
    <row r="152" spans="1:8" x14ac:dyDescent="0.25">
      <c r="A152" s="20">
        <v>4</v>
      </c>
      <c r="B152" s="40"/>
      <c r="C152" s="41"/>
      <c r="D152" s="40"/>
      <c r="E152" s="40"/>
      <c r="F152" s="40"/>
      <c r="G152" s="34"/>
      <c r="H152" s="40"/>
    </row>
    <row r="153" spans="1:8" x14ac:dyDescent="0.25">
      <c r="A153" s="20">
        <v>5</v>
      </c>
      <c r="B153" s="40">
        <f>R59</f>
        <v>24652201.611148525</v>
      </c>
      <c r="C153" s="40">
        <f>-L59</f>
        <v>-26219967.842131473</v>
      </c>
      <c r="D153" s="40">
        <f>B153+C153</f>
        <v>-1567766.2309829481</v>
      </c>
      <c r="E153" s="40"/>
      <c r="F153" s="40"/>
      <c r="G153" s="34"/>
      <c r="H153" s="40"/>
    </row>
    <row r="154" spans="1:8" x14ac:dyDescent="0.25">
      <c r="A154" s="20">
        <v>6</v>
      </c>
      <c r="B154" s="40">
        <f t="shared" ref="B154:B158" si="33">R60</f>
        <v>28167663.797378253</v>
      </c>
      <c r="C154" s="40">
        <f t="shared" ref="C154:C158" si="34">-L60</f>
        <v>-29508957.83977849</v>
      </c>
      <c r="D154" s="40">
        <f t="shared" ref="D154:D158" si="35">B154+C154</f>
        <v>-1341294.0424002372</v>
      </c>
      <c r="E154" s="40"/>
      <c r="F154" s="40"/>
      <c r="G154" s="34"/>
      <c r="H154" s="40"/>
    </row>
    <row r="155" spans="1:8" x14ac:dyDescent="0.25">
      <c r="A155" s="20">
        <v>7</v>
      </c>
      <c r="B155" s="40">
        <f t="shared" si="33"/>
        <v>31624601.82376267</v>
      </c>
      <c r="C155" s="40">
        <f t="shared" si="34"/>
        <v>-32698251.97008419</v>
      </c>
      <c r="D155" s="40">
        <f t="shared" si="35"/>
        <v>-1073650.1463215202</v>
      </c>
      <c r="E155" s="40"/>
      <c r="F155" s="40"/>
      <c r="G155" s="34"/>
      <c r="H155" s="40"/>
    </row>
    <row r="156" spans="1:8" x14ac:dyDescent="0.25">
      <c r="A156" s="20">
        <v>8</v>
      </c>
      <c r="B156" s="40">
        <f t="shared" si="33"/>
        <v>35167737.575934008</v>
      </c>
      <c r="C156" s="40">
        <f t="shared" si="34"/>
        <v>-35930904.673426084</v>
      </c>
      <c r="D156" s="40">
        <f t="shared" si="35"/>
        <v>-763167.09749207646</v>
      </c>
      <c r="E156" s="40"/>
      <c r="F156" s="40"/>
      <c r="G156" s="34"/>
      <c r="H156" s="40"/>
    </row>
    <row r="157" spans="1:8" x14ac:dyDescent="0.25">
      <c r="A157" s="20">
        <v>9</v>
      </c>
      <c r="B157" s="40">
        <f t="shared" si="33"/>
        <v>38924308.528334498</v>
      </c>
      <c r="C157" s="40">
        <f t="shared" si="34"/>
        <v>-39331063.925859116</v>
      </c>
      <c r="D157" s="40">
        <f t="shared" si="35"/>
        <v>-406755.39752461761</v>
      </c>
      <c r="E157" s="40"/>
      <c r="F157" s="40"/>
      <c r="G157" s="34"/>
      <c r="H157" s="40"/>
    </row>
    <row r="158" spans="1:8" x14ac:dyDescent="0.25">
      <c r="A158" s="20">
        <v>10</v>
      </c>
      <c r="B158" s="40">
        <f t="shared" si="33"/>
        <v>0</v>
      </c>
      <c r="C158" s="40">
        <f t="shared" si="34"/>
        <v>0</v>
      </c>
      <c r="D158" s="40">
        <f t="shared" si="35"/>
        <v>0</v>
      </c>
      <c r="E158" s="40"/>
      <c r="F158" s="40"/>
      <c r="G158" s="34"/>
      <c r="H158" s="40"/>
    </row>
    <row r="159" spans="1:8" x14ac:dyDescent="0.25">
      <c r="B159" s="29"/>
      <c r="C159" s="29"/>
      <c r="D159" s="29"/>
      <c r="E159" s="29"/>
      <c r="F159" s="23"/>
      <c r="G159" s="29"/>
    </row>
    <row r="160" spans="1:8" x14ac:dyDescent="0.25">
      <c r="A160" s="20"/>
      <c r="B160" s="29"/>
      <c r="C160" s="29"/>
      <c r="D160" s="29"/>
      <c r="E160" s="29"/>
      <c r="F160" s="23"/>
      <c r="G160" s="29"/>
    </row>
    <row r="161" spans="1:7" x14ac:dyDescent="0.25">
      <c r="B161" s="29"/>
      <c r="C161" s="29"/>
      <c r="D161" s="29"/>
      <c r="E161" s="29"/>
    </row>
    <row r="162" spans="1:7" x14ac:dyDescent="0.25">
      <c r="A162" s="3"/>
      <c r="E162" s="29"/>
      <c r="G162" s="29"/>
    </row>
    <row r="163" spans="1:7" x14ac:dyDescent="0.25">
      <c r="A163" s="3"/>
    </row>
    <row r="164" spans="1:7" x14ac:dyDescent="0.25">
      <c r="B164" s="20"/>
      <c r="C164" s="20"/>
      <c r="D164" s="20"/>
    </row>
    <row r="165" spans="1:7" x14ac:dyDescent="0.25">
      <c r="B165" s="2"/>
      <c r="C165" s="2"/>
      <c r="D165" s="2"/>
      <c r="E165" s="5"/>
    </row>
    <row r="166" spans="1:7" x14ac:dyDescent="0.25">
      <c r="D166" s="29"/>
    </row>
    <row r="167" spans="1:7" x14ac:dyDescent="0.25">
      <c r="B167" s="29"/>
      <c r="C167" s="29"/>
      <c r="D167" s="29"/>
    </row>
    <row r="168" spans="1:7" x14ac:dyDescent="0.25">
      <c r="B168" s="29"/>
      <c r="C168" s="29"/>
      <c r="D168" s="29"/>
    </row>
    <row r="169" spans="1:7" x14ac:dyDescent="0.25">
      <c r="B169" s="29"/>
      <c r="C169" s="29"/>
      <c r="D169" s="29"/>
    </row>
    <row r="170" spans="1:7" x14ac:dyDescent="0.25">
      <c r="B170" s="29"/>
      <c r="C170" s="29"/>
      <c r="D170" s="29"/>
    </row>
    <row r="171" spans="1:7" x14ac:dyDescent="0.25">
      <c r="B171" s="29"/>
      <c r="C171" s="29"/>
      <c r="D171" s="29"/>
    </row>
    <row r="172" spans="1:7" x14ac:dyDescent="0.25">
      <c r="B172" s="29"/>
      <c r="C172" s="29"/>
      <c r="D172" s="29"/>
    </row>
    <row r="173" spans="1:7" x14ac:dyDescent="0.25">
      <c r="B173" s="29"/>
      <c r="C173" s="29"/>
      <c r="D173" s="29"/>
    </row>
    <row r="174" spans="1:7" x14ac:dyDescent="0.25">
      <c r="B174" s="29"/>
      <c r="C174" s="29"/>
      <c r="D174" s="29"/>
    </row>
    <row r="175" spans="1:7" x14ac:dyDescent="0.25">
      <c r="B175" s="29"/>
      <c r="C175" s="29"/>
      <c r="D175" s="29"/>
    </row>
    <row r="176" spans="1:7" x14ac:dyDescent="0.25">
      <c r="B176" s="29"/>
      <c r="C176" s="29"/>
      <c r="D176" s="29"/>
    </row>
  </sheetData>
  <mergeCells count="1">
    <mergeCell ref="O29:Q29"/>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47"/>
  <sheetViews>
    <sheetView topLeftCell="A32" zoomScaleNormal="100" workbookViewId="0">
      <selection activeCell="B5" sqref="B5"/>
    </sheetView>
  </sheetViews>
  <sheetFormatPr defaultColWidth="8.7109375" defaultRowHeight="15" x14ac:dyDescent="0.25"/>
  <cols>
    <col min="1" max="1" width="24.7109375" style="12" bestFit="1" customWidth="1"/>
    <col min="2" max="2" width="11" style="12" bestFit="1" customWidth="1"/>
    <col min="3" max="3" width="11.42578125" style="12" bestFit="1" customWidth="1"/>
    <col min="4" max="4" width="11.7109375" style="12" bestFit="1" customWidth="1"/>
    <col min="5" max="5" width="15.5703125" style="12" customWidth="1"/>
    <col min="6" max="6" width="11.7109375" style="12" bestFit="1" customWidth="1"/>
    <col min="7" max="11" width="11.5703125" style="12" customWidth="1"/>
    <col min="12" max="12" width="12.7109375" style="12" customWidth="1"/>
    <col min="13" max="13" width="8.7109375" style="12"/>
    <col min="14" max="14" width="12.5703125" style="12" bestFit="1" customWidth="1"/>
    <col min="15" max="15" width="11.5703125" style="12" bestFit="1" customWidth="1"/>
    <col min="16" max="17" width="13.5703125" style="12" bestFit="1" customWidth="1"/>
    <col min="18" max="18" width="11" style="12" bestFit="1" customWidth="1"/>
    <col min="19" max="16384" width="8.7109375" style="12"/>
  </cols>
  <sheetData>
    <row r="1" spans="1:18" x14ac:dyDescent="0.25">
      <c r="A1" s="13" t="s">
        <v>146</v>
      </c>
    </row>
    <row r="2" spans="1:18" x14ac:dyDescent="0.25">
      <c r="A2" s="11" t="s">
        <v>147</v>
      </c>
    </row>
    <row r="3" spans="1:18" x14ac:dyDescent="0.25">
      <c r="A3" s="15" t="s">
        <v>148</v>
      </c>
    </row>
    <row r="4" spans="1:18" x14ac:dyDescent="0.25">
      <c r="A4" s="16" t="s">
        <v>149</v>
      </c>
    </row>
    <row r="6" spans="1:18" x14ac:dyDescent="0.25">
      <c r="A6" s="1" t="s">
        <v>40</v>
      </c>
    </row>
    <row r="8" spans="1:18" x14ac:dyDescent="0.25">
      <c r="A8" s="1" t="s">
        <v>83</v>
      </c>
    </row>
    <row r="10" spans="1:18" x14ac:dyDescent="0.25">
      <c r="B10" s="20"/>
      <c r="C10" s="20" t="s">
        <v>7</v>
      </c>
      <c r="D10" s="20"/>
      <c r="E10" s="20"/>
      <c r="F10" s="20"/>
      <c r="G10" s="20" t="s">
        <v>47</v>
      </c>
      <c r="H10" s="20"/>
      <c r="I10" s="20"/>
      <c r="J10" s="20"/>
      <c r="K10" s="20"/>
      <c r="N10" s="20"/>
      <c r="O10" s="20"/>
      <c r="Q10" s="20"/>
    </row>
    <row r="11" spans="1:18" x14ac:dyDescent="0.25">
      <c r="A11" s="20" t="s">
        <v>0</v>
      </c>
      <c r="B11" s="20"/>
      <c r="C11" s="20" t="s">
        <v>8</v>
      </c>
      <c r="D11" s="20" t="s">
        <v>43</v>
      </c>
      <c r="E11" s="20" t="s">
        <v>11</v>
      </c>
      <c r="F11" s="20" t="s">
        <v>63</v>
      </c>
      <c r="G11" s="20" t="s">
        <v>27</v>
      </c>
      <c r="H11" s="20" t="s">
        <v>9</v>
      </c>
      <c r="I11" s="20" t="s">
        <v>111</v>
      </c>
      <c r="J11" s="20" t="s">
        <v>4</v>
      </c>
      <c r="K11" s="20" t="s">
        <v>13</v>
      </c>
      <c r="L11" s="20" t="s">
        <v>46</v>
      </c>
      <c r="N11" s="20"/>
      <c r="O11" s="20"/>
      <c r="Q11" s="20"/>
    </row>
    <row r="12" spans="1:18" x14ac:dyDescent="0.25">
      <c r="A12" s="2" t="s">
        <v>1</v>
      </c>
      <c r="B12" s="2" t="s">
        <v>4</v>
      </c>
      <c r="C12" s="2" t="s">
        <v>42</v>
      </c>
      <c r="D12" s="2" t="s">
        <v>44</v>
      </c>
      <c r="E12" s="2" t="s">
        <v>44</v>
      </c>
      <c r="F12" s="2" t="s">
        <v>45</v>
      </c>
      <c r="G12" s="2" t="s">
        <v>37</v>
      </c>
      <c r="H12" s="2" t="s">
        <v>37</v>
      </c>
      <c r="I12" s="2" t="s">
        <v>37</v>
      </c>
      <c r="J12" s="2" t="s">
        <v>57</v>
      </c>
      <c r="K12" s="2" t="s">
        <v>19</v>
      </c>
      <c r="L12" s="2" t="s">
        <v>8</v>
      </c>
      <c r="N12" s="2"/>
      <c r="O12" s="2"/>
      <c r="Q12" s="2"/>
    </row>
    <row r="13" spans="1:18" x14ac:dyDescent="0.25">
      <c r="Q13" s="34"/>
    </row>
    <row r="14" spans="1:18" x14ac:dyDescent="0.25">
      <c r="A14" s="12">
        <v>1</v>
      </c>
      <c r="B14" s="18">
        <f>'Actuarial balances'!E33</f>
        <v>9000000</v>
      </c>
      <c r="C14" s="18">
        <f>'Invested asset rollforwards'!H16</f>
        <v>96156.25</v>
      </c>
      <c r="D14" s="18">
        <f>-'Actuarial balances'!K33</f>
        <v>-63000</v>
      </c>
      <c r="E14" s="18">
        <f>-'Actuarial balances'!L33</f>
        <v>0</v>
      </c>
      <c r="F14" s="18">
        <f>'Actuarial balances'!F54-'Actuarial balances'!F55</f>
        <v>-7846420.4174484732</v>
      </c>
      <c r="G14" s="18">
        <f>-(Input!G18-Input!H18)*'Actuarial balances'!D14</f>
        <v>-100000</v>
      </c>
      <c r="H14" s="18">
        <f>-'Actuarial balances'!G33</f>
        <v>-35000</v>
      </c>
      <c r="I14" s="18">
        <f>-'Actuarial balances'!I33</f>
        <v>-630</v>
      </c>
      <c r="J14" s="18">
        <f>-B14*Input!K18</f>
        <v>-202500</v>
      </c>
      <c r="K14" s="18">
        <f>'Actuarial balances'!C92</f>
        <v>-1006778.0389440364</v>
      </c>
      <c r="L14" s="18">
        <f t="shared" ref="L14:L23" si="0">SUM(B14:K14)</f>
        <v>-158172.20639250951</v>
      </c>
      <c r="N14" s="34"/>
      <c r="O14" s="34"/>
      <c r="P14" s="19"/>
      <c r="Q14" s="34"/>
      <c r="R14" s="34"/>
    </row>
    <row r="15" spans="1:18" x14ac:dyDescent="0.25">
      <c r="A15" s="12">
        <v>2</v>
      </c>
      <c r="B15" s="18">
        <f>'Actuarial balances'!E34</f>
        <v>7645180.5</v>
      </c>
      <c r="C15" s="18">
        <f>'Invested asset rollforwards'!H17</f>
        <v>420581.55178093177</v>
      </c>
      <c r="D15" s="18">
        <f>-'Actuarial balances'!K34</f>
        <v>-65408.766499999998</v>
      </c>
      <c r="E15" s="18">
        <f>-'Actuarial balances'!L34</f>
        <v>-1018572.4948019999</v>
      </c>
      <c r="F15" s="18">
        <f>'Actuarial balances'!F55-'Actuarial balances'!F56</f>
        <v>-5948528.4905635966</v>
      </c>
      <c r="G15" s="18">
        <v>0</v>
      </c>
      <c r="H15" s="18">
        <f>-'Actuarial balances'!G34</f>
        <v>-30325.882650000003</v>
      </c>
      <c r="I15" s="18">
        <f>-'Actuarial balances'!I34</f>
        <v>-654.08766500000002</v>
      </c>
      <c r="J15" s="18">
        <f>-B15*Input!K19</f>
        <v>-172016.56125</v>
      </c>
      <c r="K15" s="18">
        <f>'Actuarial balances'!C93</f>
        <v>-855222.20346257626</v>
      </c>
      <c r="L15" s="18">
        <f t="shared" si="0"/>
        <v>-24966.43511224119</v>
      </c>
      <c r="N15" s="34"/>
      <c r="O15" s="34"/>
      <c r="P15" s="19"/>
      <c r="Q15" s="34"/>
    </row>
    <row r="16" spans="1:18" x14ac:dyDescent="0.25">
      <c r="A16" s="12">
        <v>3</v>
      </c>
      <c r="B16" s="18">
        <f>'Actuarial balances'!E35</f>
        <v>6722578.4656932</v>
      </c>
      <c r="C16" s="18">
        <f>'Invested asset rollforwards'!H18</f>
        <v>671545.4770468676</v>
      </c>
      <c r="D16" s="18">
        <f>-'Actuarial balances'!K35</f>
        <v>-73948.363122625189</v>
      </c>
      <c r="E16" s="18">
        <f>-'Actuarial balances'!L35</f>
        <v>-1567048.7263695048</v>
      </c>
      <c r="F16" s="18">
        <f>'Actuarial balances'!F56-'Actuarial balances'!F57</f>
        <v>-4818498.560851194</v>
      </c>
      <c r="G16" s="18">
        <v>0</v>
      </c>
      <c r="H16" s="18">
        <f>-'Actuarial balances'!G35</f>
        <v>-27199.552472194689</v>
      </c>
      <c r="I16" s="18">
        <f>-'Actuarial balances'!I35</f>
        <v>-739.48363122625199</v>
      </c>
      <c r="J16" s="18">
        <f>-B16*Input!K20</f>
        <v>-151258.01547809699</v>
      </c>
      <c r="K16" s="18">
        <f>'Actuarial balances'!C94</f>
        <v>-752016.04048200091</v>
      </c>
      <c r="L16" s="18">
        <f t="shared" si="0"/>
        <v>3415.2003332249587</v>
      </c>
      <c r="N16" s="34"/>
      <c r="O16" s="34"/>
      <c r="P16" s="19"/>
      <c r="Q16" s="34"/>
    </row>
    <row r="17" spans="1:17" x14ac:dyDescent="0.25">
      <c r="A17" s="12">
        <v>4</v>
      </c>
      <c r="B17" s="18">
        <f>'Actuarial balances'!E36</f>
        <v>6044330.8017109474</v>
      </c>
      <c r="C17" s="18">
        <f>'Invested asset rollforwards'!H19</f>
        <v>880211.23723196576</v>
      </c>
      <c r="D17" s="18">
        <f>-'Actuarial balances'!K36</f>
        <v>-76561.523488338644</v>
      </c>
      <c r="E17" s="18">
        <f>-'Actuarial balances'!L36</f>
        <v>-1931980.8846710389</v>
      </c>
      <c r="F17" s="18">
        <f>'Actuarial balances'!F57-'Actuarial balances'!F58</f>
        <v>-4047558.9177236408</v>
      </c>
      <c r="G17" s="18">
        <v>0</v>
      </c>
      <c r="H17" s="18">
        <f>-'Actuarial balances'!G36</f>
        <v>-24944.469672196941</v>
      </c>
      <c r="I17" s="18">
        <f>-'Actuarial balances'!I36</f>
        <v>-765.61523488338662</v>
      </c>
      <c r="J17" s="18">
        <f>-B17*Input!K21</f>
        <v>-135997.44303849631</v>
      </c>
      <c r="K17" s="18">
        <f>'Actuarial balances'!C95</f>
        <v>-676144.39014173136</v>
      </c>
      <c r="L17" s="18">
        <f t="shared" si="0"/>
        <v>30588.794972586795</v>
      </c>
      <c r="N17" s="34"/>
      <c r="O17" s="34"/>
      <c r="P17" s="19"/>
      <c r="Q17" s="34"/>
    </row>
    <row r="18" spans="1:17" x14ac:dyDescent="0.25">
      <c r="A18" s="12">
        <v>5</v>
      </c>
      <c r="B18" s="18">
        <f>'Actuarial balances'!E37</f>
        <v>5494070.6407832671</v>
      </c>
      <c r="C18" s="18">
        <f>'Invested asset rollforwards'!H20</f>
        <v>1058185.9970898889</v>
      </c>
      <c r="D18" s="18">
        <f>-'Actuarial balances'!K37</f>
        <v>-78137.89355780647</v>
      </c>
      <c r="E18" s="18">
        <f>-'Actuarial balances'!L37</f>
        <v>-2097267.9458276597</v>
      </c>
      <c r="F18" s="18">
        <f>'Actuarial balances'!F58-'Actuarial balances'!F59</f>
        <v>-3558961.4555445537</v>
      </c>
      <c r="G18" s="18">
        <v>0</v>
      </c>
      <c r="H18" s="18">
        <f>-'Actuarial balances'!G37</f>
        <v>-23127.061809038503</v>
      </c>
      <c r="I18" s="18">
        <f>-'Actuarial balances'!I37</f>
        <v>-781.37893557806456</v>
      </c>
      <c r="J18" s="18">
        <f>-B18*Input!K22</f>
        <v>-123616.5894176235</v>
      </c>
      <c r="K18" s="18">
        <f>'Actuarial balances'!C96</f>
        <v>-614589.96283864242</v>
      </c>
      <c r="L18" s="18">
        <f t="shared" si="0"/>
        <v>55774.349942253204</v>
      </c>
      <c r="N18" s="34"/>
      <c r="O18" s="34"/>
      <c r="P18" s="19"/>
      <c r="Q18" s="34"/>
    </row>
    <row r="19" spans="1:17" x14ac:dyDescent="0.25">
      <c r="A19" s="12">
        <v>6</v>
      </c>
      <c r="B19" s="18">
        <f>'Actuarial balances'!E38</f>
        <v>5048075.1719340198</v>
      </c>
      <c r="C19" s="18">
        <f>'Invested asset rollforwards'!H21</f>
        <v>1217095.3353724382</v>
      </c>
      <c r="D19" s="18">
        <f>-'Actuarial balances'!K38</f>
        <v>-78525.613785640278</v>
      </c>
      <c r="E19" s="18">
        <f>-'Actuarial balances'!L38</f>
        <v>-2117223.3040111908</v>
      </c>
      <c r="F19" s="18">
        <f>'Actuarial balances'!F59-'Actuarial balances'!F60</f>
        <v>-3288989.9976470135</v>
      </c>
      <c r="G19" s="18">
        <v>0</v>
      </c>
      <c r="H19" s="18">
        <f>-'Actuarial balances'!G38</f>
        <v>-21674.655685055681</v>
      </c>
      <c r="I19" s="18">
        <f>-'Actuarial balances'!I38</f>
        <v>-785.2561378564028</v>
      </c>
      <c r="J19" s="18">
        <f>-B19*Input!K23</f>
        <v>-113581.69136851544</v>
      </c>
      <c r="K19" s="18">
        <f>'Actuarial balances'!C97</f>
        <v>-564699.02467131231</v>
      </c>
      <c r="L19" s="18">
        <f t="shared" si="0"/>
        <v>79690.963999873959</v>
      </c>
      <c r="N19" s="34"/>
      <c r="O19" s="34"/>
      <c r="P19" s="19"/>
      <c r="Q19" s="34"/>
    </row>
    <row r="20" spans="1:17" x14ac:dyDescent="0.25">
      <c r="A20" s="12">
        <v>7</v>
      </c>
      <c r="B20" s="18">
        <f>'Actuarial balances'!E39</f>
        <v>4688137.3160247803</v>
      </c>
      <c r="C20" s="18">
        <f>'Invested asset rollforwards'!H22</f>
        <v>1365972.5221592954</v>
      </c>
      <c r="D20" s="18">
        <f>-'Actuarial balances'!K39</f>
        <v>-82302.855103546113</v>
      </c>
      <c r="E20" s="18">
        <f>-'Actuarial balances'!L39</f>
        <v>-2028316.3589283656</v>
      </c>
      <c r="F20" s="18">
        <f>'Actuarial balances'!F60-'Actuarial balances'!F61</f>
        <v>-3189294.1303057</v>
      </c>
      <c r="G20" s="18">
        <v>0</v>
      </c>
      <c r="H20" s="18">
        <f>-'Actuarial balances'!G39</f>
        <v>-20531.79357310784</v>
      </c>
      <c r="I20" s="18">
        <f>-'Actuarial balances'!I39</f>
        <v>-823.02855103546108</v>
      </c>
      <c r="J20" s="18">
        <f>-B20*Input!K24</f>
        <v>-105483.08961055755</v>
      </c>
      <c r="K20" s="18">
        <f>'Actuarial balances'!C98</f>
        <v>-524434.85481419833</v>
      </c>
      <c r="L20" s="18">
        <f t="shared" si="0"/>
        <v>102923.72729756485</v>
      </c>
      <c r="N20" s="34"/>
      <c r="O20" s="34"/>
      <c r="P20" s="19"/>
      <c r="Q20" s="34"/>
    </row>
    <row r="21" spans="1:17" x14ac:dyDescent="0.25">
      <c r="A21" s="12">
        <v>8</v>
      </c>
      <c r="B21" s="18">
        <f>'Actuarial balances'!E40</f>
        <v>4399886.2555215331</v>
      </c>
      <c r="C21" s="18">
        <f>'Invested asset rollforwards'!H23</f>
        <v>1511868.2471097445</v>
      </c>
      <c r="D21" s="18">
        <f>-'Actuarial balances'!K40</f>
        <v>-87019.972609203614</v>
      </c>
      <c r="E21" s="18">
        <f>-'Actuarial balances'!L40</f>
        <v>-1854422.9933721637</v>
      </c>
      <c r="F21" s="18">
        <f>'Actuarial balances'!F61-'Actuarial balances'!F62</f>
        <v>-3232652.7033418976</v>
      </c>
      <c r="G21" s="18">
        <v>0</v>
      </c>
      <c r="H21" s="18">
        <f>-'Actuarial balances'!G40</f>
        <v>-19654.779981684722</v>
      </c>
      <c r="I21" s="18">
        <f>-'Actuarial balances'!I40</f>
        <v>-870.19972609203626</v>
      </c>
      <c r="J21" s="18">
        <f>-B21*Input!K25</f>
        <v>-98997.440749234491</v>
      </c>
      <c r="K21" s="18">
        <f>'Actuarial balances'!C99</f>
        <v>-492189.87287897652</v>
      </c>
      <c r="L21" s="18">
        <f t="shared" si="0"/>
        <v>125946.53997202532</v>
      </c>
      <c r="N21" s="34"/>
      <c r="O21" s="34"/>
      <c r="P21" s="19"/>
      <c r="Q21" s="34"/>
    </row>
    <row r="22" spans="1:17" x14ac:dyDescent="0.25">
      <c r="A22" s="12">
        <v>9</v>
      </c>
      <c r="B22" s="18">
        <f>'Actuarial balances'!E41</f>
        <v>4172451.73508737</v>
      </c>
      <c r="C22" s="18">
        <f>'Invested asset rollforwards'!H24</f>
        <v>1660752.9097041695</v>
      </c>
      <c r="D22" s="18">
        <f>-'Actuarial balances'!K41</f>
        <v>-93184.75541695123</v>
      </c>
      <c r="E22" s="18">
        <f>-'Actuarial balances'!L41</f>
        <v>-1610105.1747452726</v>
      </c>
      <c r="F22" s="18">
        <f>'Actuarial balances'!F62-'Actuarial balances'!F63</f>
        <v>-3400159.2524330318</v>
      </c>
      <c r="G22" s="18">
        <v>0</v>
      </c>
      <c r="H22" s="18">
        <f>-'Actuarial balances'!G41</f>
        <v>-19011.580844644486</v>
      </c>
      <c r="I22" s="18">
        <f>-'Actuarial balances'!I41</f>
        <v>-931.84755416951236</v>
      </c>
      <c r="J22" s="18">
        <f>-B22*Input!K26</f>
        <v>-93880.164039465817</v>
      </c>
      <c r="K22" s="18">
        <f>'Actuarial balances'!C100</f>
        <v>-466748.0861599893</v>
      </c>
      <c r="L22" s="18">
        <f t="shared" si="0"/>
        <v>149183.78359801491</v>
      </c>
      <c r="N22" s="34"/>
      <c r="O22" s="34"/>
      <c r="P22" s="19"/>
      <c r="Q22" s="34"/>
    </row>
    <row r="23" spans="1:17" x14ac:dyDescent="0.25">
      <c r="A23" s="12">
        <v>10</v>
      </c>
      <c r="B23" s="18">
        <f>'Actuarial balances'!E42</f>
        <v>3997502.5028158505</v>
      </c>
      <c r="C23" s="18">
        <f>'Invested asset rollforwards'!H25</f>
        <v>1817846.8209474157</v>
      </c>
      <c r="D23" s="18">
        <f>-'Actuarial balances'!K42</f>
        <v>-99493.395625638892</v>
      </c>
      <c r="E23" s="18">
        <f>-'Actuarial balances'!L42</f>
        <v>-44317201.08010602</v>
      </c>
      <c r="F23" s="18">
        <f>'Actuarial balances'!F63-'Actuarial balances'!F64</f>
        <v>39331063.925859101</v>
      </c>
      <c r="G23" s="18">
        <v>0</v>
      </c>
      <c r="H23" s="18">
        <f>-'Actuarial balances'!G42</f>
        <v>-18578.721521750096</v>
      </c>
      <c r="I23" s="18">
        <f>-'Actuarial balances'!I42</f>
        <v>-994.93395625638902</v>
      </c>
      <c r="J23" s="18">
        <f>-B23*Input!K27</f>
        <v>-89943.806313356632</v>
      </c>
      <c r="K23" s="18">
        <f>'Actuarial balances'!C101</f>
        <v>-447177.52560653549</v>
      </c>
      <c r="L23" s="18">
        <f t="shared" si="0"/>
        <v>173023.7864928128</v>
      </c>
      <c r="N23" s="34"/>
      <c r="O23" s="34"/>
      <c r="P23" s="19"/>
      <c r="Q23" s="34"/>
    </row>
    <row r="24" spans="1:17" x14ac:dyDescent="0.25">
      <c r="B24" s="18"/>
      <c r="C24" s="18"/>
      <c r="D24" s="18"/>
      <c r="E24" s="18"/>
      <c r="F24" s="18"/>
      <c r="G24" s="18"/>
      <c r="H24" s="18"/>
      <c r="I24" s="18"/>
      <c r="J24" s="18"/>
      <c r="K24" s="18"/>
      <c r="L24" s="18"/>
      <c r="N24" s="34"/>
      <c r="O24" s="34"/>
      <c r="P24" s="19"/>
      <c r="Q24" s="34"/>
    </row>
    <row r="25" spans="1:17" x14ac:dyDescent="0.25">
      <c r="A25" s="4" t="s">
        <v>103</v>
      </c>
      <c r="B25" s="18"/>
      <c r="C25" s="18"/>
      <c r="D25" s="18"/>
      <c r="E25" s="18"/>
      <c r="F25" s="18"/>
      <c r="G25" s="18"/>
      <c r="H25" s="18"/>
      <c r="I25" s="18"/>
      <c r="J25" s="18"/>
      <c r="K25" s="18"/>
      <c r="L25" s="18"/>
      <c r="N25" s="34"/>
      <c r="O25" s="34"/>
      <c r="P25" s="19"/>
      <c r="Q25" s="34"/>
    </row>
    <row r="26" spans="1:17" x14ac:dyDescent="0.25">
      <c r="A26" s="4"/>
      <c r="B26" s="18"/>
      <c r="C26" s="18"/>
      <c r="D26" s="18"/>
      <c r="E26" s="18"/>
      <c r="F26" s="18"/>
      <c r="G26" s="18"/>
      <c r="H26" s="18"/>
      <c r="I26" s="18"/>
      <c r="J26" s="18"/>
      <c r="K26" s="18"/>
      <c r="L26" s="18"/>
      <c r="N26" s="34"/>
      <c r="O26" s="34"/>
      <c r="P26" s="19"/>
      <c r="Q26" s="34"/>
    </row>
    <row r="27" spans="1:17" x14ac:dyDescent="0.25">
      <c r="A27" s="4"/>
      <c r="B27" s="18" t="s">
        <v>140</v>
      </c>
      <c r="C27" s="18"/>
      <c r="D27" s="18"/>
      <c r="E27" s="18"/>
      <c r="F27" s="18"/>
      <c r="G27" s="18"/>
      <c r="H27" s="18"/>
      <c r="I27" s="18"/>
      <c r="J27" s="18"/>
      <c r="K27" s="18"/>
      <c r="L27" s="18"/>
      <c r="N27" s="34"/>
      <c r="P27" s="19"/>
      <c r="Q27" s="34"/>
    </row>
    <row r="28" spans="1:17" x14ac:dyDescent="0.25">
      <c r="A28" s="4"/>
      <c r="B28" s="18"/>
      <c r="C28" s="18"/>
      <c r="D28" s="18"/>
      <c r="E28" s="18"/>
      <c r="F28" s="18"/>
      <c r="G28" s="18"/>
      <c r="H28" s="18"/>
      <c r="I28" s="18"/>
      <c r="J28" s="18"/>
      <c r="K28" s="18"/>
      <c r="L28" s="18"/>
      <c r="N28" s="42" t="s">
        <v>109</v>
      </c>
      <c r="P28" s="19"/>
      <c r="Q28" s="34"/>
    </row>
    <row r="29" spans="1:17" x14ac:dyDescent="0.25">
      <c r="B29" s="18"/>
      <c r="C29" s="18"/>
      <c r="D29" s="18"/>
      <c r="E29" s="18"/>
      <c r="F29" s="18"/>
      <c r="G29" s="18"/>
      <c r="H29" s="18"/>
      <c r="I29" s="18"/>
      <c r="J29" s="18"/>
      <c r="K29" s="18"/>
      <c r="L29" s="18"/>
      <c r="N29" s="42" t="s">
        <v>105</v>
      </c>
      <c r="O29" s="42" t="s">
        <v>95</v>
      </c>
      <c r="P29" s="43" t="s">
        <v>102</v>
      </c>
      <c r="Q29" s="34"/>
    </row>
    <row r="30" spans="1:17" x14ac:dyDescent="0.25">
      <c r="B30" s="20"/>
      <c r="C30" s="20" t="s">
        <v>7</v>
      </c>
      <c r="D30" s="20"/>
      <c r="E30" s="20"/>
      <c r="F30" s="20"/>
      <c r="G30" s="20" t="s">
        <v>47</v>
      </c>
      <c r="H30" s="20"/>
      <c r="I30" s="20"/>
      <c r="J30" s="20"/>
      <c r="K30" s="20"/>
      <c r="N30" s="20" t="s">
        <v>99</v>
      </c>
      <c r="O30" s="42" t="s">
        <v>109</v>
      </c>
      <c r="P30" s="43" t="s">
        <v>100</v>
      </c>
      <c r="Q30" s="43" t="s">
        <v>18</v>
      </c>
    </row>
    <row r="31" spans="1:17" x14ac:dyDescent="0.25">
      <c r="A31" s="20" t="s">
        <v>0</v>
      </c>
      <c r="B31" s="20"/>
      <c r="C31" s="20" t="s">
        <v>8</v>
      </c>
      <c r="D31" s="20" t="s">
        <v>43</v>
      </c>
      <c r="E31" s="20" t="s">
        <v>11</v>
      </c>
      <c r="F31" s="20" t="s">
        <v>63</v>
      </c>
      <c r="G31" s="20" t="s">
        <v>27</v>
      </c>
      <c r="H31" s="20" t="s">
        <v>9</v>
      </c>
      <c r="I31" s="20" t="s">
        <v>111</v>
      </c>
      <c r="J31" s="20" t="s">
        <v>4</v>
      </c>
      <c r="K31" s="20" t="s">
        <v>13</v>
      </c>
      <c r="L31" s="20" t="s">
        <v>46</v>
      </c>
      <c r="N31" s="42" t="s">
        <v>51</v>
      </c>
      <c r="O31" s="42" t="s">
        <v>97</v>
      </c>
      <c r="P31" s="43" t="s">
        <v>101</v>
      </c>
      <c r="Q31" s="43" t="s">
        <v>101</v>
      </c>
    </row>
    <row r="32" spans="1:17" ht="17.25" x14ac:dyDescent="0.4">
      <c r="A32" s="2" t="s">
        <v>1</v>
      </c>
      <c r="B32" s="2" t="s">
        <v>4</v>
      </c>
      <c r="C32" s="2" t="s">
        <v>42</v>
      </c>
      <c r="D32" s="2" t="s">
        <v>44</v>
      </c>
      <c r="E32" s="2" t="s">
        <v>44</v>
      </c>
      <c r="F32" s="2" t="s">
        <v>45</v>
      </c>
      <c r="G32" s="2" t="s">
        <v>37</v>
      </c>
      <c r="H32" s="2" t="s">
        <v>37</v>
      </c>
      <c r="I32" s="2" t="s">
        <v>37</v>
      </c>
      <c r="J32" s="2" t="s">
        <v>57</v>
      </c>
      <c r="K32" s="2" t="s">
        <v>19</v>
      </c>
      <c r="L32" s="2" t="s">
        <v>8</v>
      </c>
      <c r="N32" s="6" t="s">
        <v>14</v>
      </c>
      <c r="O32" s="7" t="s">
        <v>98</v>
      </c>
      <c r="P32" s="8" t="s">
        <v>8</v>
      </c>
      <c r="Q32" s="8" t="s">
        <v>8</v>
      </c>
    </row>
    <row r="33" spans="1:17" x14ac:dyDescent="0.25">
      <c r="N33" s="34"/>
      <c r="O33" s="34"/>
      <c r="P33" s="19"/>
      <c r="Q33" s="34"/>
    </row>
    <row r="34" spans="1:17" x14ac:dyDescent="0.25">
      <c r="A34" s="12">
        <v>1</v>
      </c>
      <c r="B34" s="18">
        <f>'Actuarial balances'!E33</f>
        <v>9000000</v>
      </c>
      <c r="C34" s="18">
        <f>'Invested asset rollforwards'!H36</f>
        <v>96156.25</v>
      </c>
      <c r="D34" s="18">
        <f>-'Actuarial balances'!K33</f>
        <v>-63000</v>
      </c>
      <c r="E34" s="18">
        <f>-'Actuarial balances'!L33</f>
        <v>0</v>
      </c>
      <c r="F34" s="18">
        <f>'Actuarial balances'!F54-'Actuarial balances'!F55</f>
        <v>-7846420.4174484732</v>
      </c>
      <c r="G34" s="18">
        <f>-(Input!G39-Input!H39)*'Actuarial balances'!D14</f>
        <v>-100000</v>
      </c>
      <c r="H34" s="18">
        <f>-'Actuarial balances'!G33</f>
        <v>-35000</v>
      </c>
      <c r="I34" s="18">
        <f>-'Actuarial balances'!I33</f>
        <v>-630</v>
      </c>
      <c r="J34" s="18">
        <f>-B34*Input!K39</f>
        <v>-202500</v>
      </c>
      <c r="K34" s="18">
        <f>'Actuarial balances'!C92</f>
        <v>-1006778.0389440364</v>
      </c>
      <c r="L34" s="18">
        <f t="shared" ref="L34:L43" si="1">SUM(B34:K34)</f>
        <v>-158172.20639250951</v>
      </c>
      <c r="N34" s="34">
        <f>'Invested asset rollforwards'!N36-'Invested asset rollforwards'!N35</f>
        <v>0</v>
      </c>
      <c r="O34" s="34">
        <f>'Actuarial balances'!D148-'Actuarial balances'!D149</f>
        <v>0</v>
      </c>
      <c r="P34" s="44">
        <f>N34+O34</f>
        <v>0</v>
      </c>
      <c r="Q34" s="34">
        <f>L34+P34</f>
        <v>-158172.20639250951</v>
      </c>
    </row>
    <row r="35" spans="1:17" x14ac:dyDescent="0.25">
      <c r="A35" s="12">
        <v>2</v>
      </c>
      <c r="B35" s="18">
        <f>'Actuarial balances'!E34</f>
        <v>7645180.5</v>
      </c>
      <c r="C35" s="18">
        <f>'Invested asset rollforwards'!H37</f>
        <v>420581.55178093177</v>
      </c>
      <c r="D35" s="18">
        <f>-'Actuarial balances'!K34</f>
        <v>-65408.766499999998</v>
      </c>
      <c r="E35" s="18">
        <f>-'Actuarial balances'!L34</f>
        <v>-1018572.4948019999</v>
      </c>
      <c r="F35" s="18">
        <f>'Actuarial balances'!F55-'Actuarial balances'!F56</f>
        <v>-5948528.4905635966</v>
      </c>
      <c r="G35" s="18">
        <v>0</v>
      </c>
      <c r="H35" s="18">
        <f>-'Actuarial balances'!G34</f>
        <v>-30325.882650000003</v>
      </c>
      <c r="I35" s="18">
        <f>-'Actuarial balances'!I34</f>
        <v>-654.08766500000002</v>
      </c>
      <c r="J35" s="18">
        <f>-B35*Input!K40</f>
        <v>-172016.56125</v>
      </c>
      <c r="K35" s="18">
        <f>'Actuarial balances'!C93</f>
        <v>-855222.20346257626</v>
      </c>
      <c r="L35" s="18">
        <f t="shared" si="1"/>
        <v>-24966.43511224119</v>
      </c>
      <c r="N35" s="34">
        <f>'Invested asset rollforwards'!N37-'Invested asset rollforwards'!N36</f>
        <v>0</v>
      </c>
      <c r="O35" s="34">
        <f>'Actuarial balances'!D149-'Actuarial balances'!D150</f>
        <v>0</v>
      </c>
      <c r="P35" s="44">
        <f t="shared" ref="P35:P43" si="2">N35+O35</f>
        <v>0</v>
      </c>
      <c r="Q35" s="34">
        <f t="shared" ref="Q35:Q43" si="3">L35+P35</f>
        <v>-24966.43511224119</v>
      </c>
    </row>
    <row r="36" spans="1:17" x14ac:dyDescent="0.25">
      <c r="A36" s="12">
        <v>3</v>
      </c>
      <c r="B36" s="18">
        <f>'Actuarial balances'!E35</f>
        <v>6722578.4656932</v>
      </c>
      <c r="C36" s="18">
        <f>'Invested asset rollforwards'!H38</f>
        <v>671545.4770468676</v>
      </c>
      <c r="D36" s="18">
        <f>-'Actuarial balances'!K35</f>
        <v>-73948.363122625189</v>
      </c>
      <c r="E36" s="18">
        <f>-'Actuarial balances'!L35</f>
        <v>-1567048.7263695048</v>
      </c>
      <c r="F36" s="18">
        <f>'Actuarial balances'!F56-'Actuarial balances'!F57</f>
        <v>-4818498.560851194</v>
      </c>
      <c r="G36" s="18">
        <v>0</v>
      </c>
      <c r="H36" s="18">
        <f>-'Actuarial balances'!G35</f>
        <v>-27199.552472194689</v>
      </c>
      <c r="I36" s="18">
        <f>-'Actuarial balances'!I35</f>
        <v>-739.48363122625199</v>
      </c>
      <c r="J36" s="18">
        <f>-B36*Input!K41</f>
        <v>-151258.01547809699</v>
      </c>
      <c r="K36" s="18">
        <f>'Actuarial balances'!C94</f>
        <v>-752016.04048200091</v>
      </c>
      <c r="L36" s="18">
        <f t="shared" si="1"/>
        <v>3415.2003332249587</v>
      </c>
      <c r="N36" s="34">
        <f>'Invested asset rollforwards'!N38-'Invested asset rollforwards'!N37</f>
        <v>0</v>
      </c>
      <c r="O36" s="34">
        <f>'Actuarial balances'!D150-'Actuarial balances'!D151</f>
        <v>0</v>
      </c>
      <c r="P36" s="44">
        <f t="shared" si="2"/>
        <v>0</v>
      </c>
      <c r="Q36" s="34">
        <f t="shared" si="3"/>
        <v>3415.2003332249587</v>
      </c>
    </row>
    <row r="37" spans="1:17" x14ac:dyDescent="0.25">
      <c r="A37" s="12">
        <v>4</v>
      </c>
      <c r="B37" s="18">
        <f>'Actuarial balances'!E36</f>
        <v>6044330.8017109474</v>
      </c>
      <c r="C37" s="18">
        <f>'Invested asset rollforwards'!H39</f>
        <v>880211.23723196576</v>
      </c>
      <c r="D37" s="18">
        <f>-'Actuarial balances'!K36</f>
        <v>-76561.523488338644</v>
      </c>
      <c r="E37" s="18">
        <f>-'Actuarial balances'!L36</f>
        <v>-1931980.8846710389</v>
      </c>
      <c r="F37" s="18">
        <f>'Actuarial balances'!F57-'Actuarial balances'!F58</f>
        <v>-4047558.9177236408</v>
      </c>
      <c r="G37" s="18">
        <v>0</v>
      </c>
      <c r="H37" s="18">
        <f>-'Actuarial balances'!G36</f>
        <v>-24944.469672196941</v>
      </c>
      <c r="I37" s="18">
        <f>-'Actuarial balances'!I36</f>
        <v>-765.61523488338662</v>
      </c>
      <c r="J37" s="18">
        <f>-B37*Input!K42</f>
        <v>-135997.44303849631</v>
      </c>
      <c r="K37" s="18">
        <f>'Actuarial balances'!C95</f>
        <v>-676144.39014173136</v>
      </c>
      <c r="L37" s="18">
        <f t="shared" si="1"/>
        <v>30588.794972586795</v>
      </c>
      <c r="N37" s="34">
        <f>'Invested asset rollforwards'!N39-'Invested asset rollforwards'!N38</f>
        <v>0</v>
      </c>
      <c r="O37" s="34">
        <f>'Actuarial balances'!D151-'Actuarial balances'!D152</f>
        <v>0</v>
      </c>
      <c r="P37" s="44">
        <f t="shared" si="2"/>
        <v>0</v>
      </c>
      <c r="Q37" s="34">
        <f t="shared" si="3"/>
        <v>30588.794972586795</v>
      </c>
    </row>
    <row r="38" spans="1:17" x14ac:dyDescent="0.25">
      <c r="A38" s="12">
        <v>5</v>
      </c>
      <c r="B38" s="18">
        <f>'Actuarial balances'!E37</f>
        <v>5494070.6407832671</v>
      </c>
      <c r="C38" s="18">
        <f>'Invested asset rollforwards'!H40</f>
        <v>1058185.9970898889</v>
      </c>
      <c r="D38" s="18">
        <f>-'Actuarial balances'!K37</f>
        <v>-78137.89355780647</v>
      </c>
      <c r="E38" s="18">
        <f>-'Actuarial balances'!L37</f>
        <v>-2097267.9458276597</v>
      </c>
      <c r="F38" s="18">
        <f>'Actuarial balances'!F58-'Actuarial balances'!F59</f>
        <v>-3558961.4555445537</v>
      </c>
      <c r="G38" s="18">
        <v>0</v>
      </c>
      <c r="H38" s="18">
        <f>-'Actuarial balances'!G37</f>
        <v>-23127.061809038503</v>
      </c>
      <c r="I38" s="18">
        <f>-'Actuarial balances'!I37</f>
        <v>-781.37893557806456</v>
      </c>
      <c r="J38" s="18">
        <f>-B38*Input!K43</f>
        <v>-123616.5894176235</v>
      </c>
      <c r="K38" s="18">
        <f>'Actuarial balances'!C96</f>
        <v>-614589.96283864242</v>
      </c>
      <c r="L38" s="18">
        <f t="shared" si="1"/>
        <v>55774.349942253204</v>
      </c>
      <c r="N38" s="34">
        <f>'Invested asset rollforwards'!N40-'Invested asset rollforwards'!N39</f>
        <v>-1186235.9239000224</v>
      </c>
      <c r="O38" s="34">
        <f>'Actuarial balances'!D152-'Actuarial balances'!D153</f>
        <v>1567766.2309829481</v>
      </c>
      <c r="P38" s="44">
        <f t="shared" si="2"/>
        <v>381530.30708292569</v>
      </c>
      <c r="Q38" s="34">
        <f t="shared" si="3"/>
        <v>437304.65702517889</v>
      </c>
    </row>
    <row r="39" spans="1:17" x14ac:dyDescent="0.25">
      <c r="A39" s="12">
        <v>6</v>
      </c>
      <c r="B39" s="18">
        <f>'Actuarial balances'!E38</f>
        <v>5048075.1719340198</v>
      </c>
      <c r="C39" s="18">
        <f>'Invested asset rollforwards'!H41</f>
        <v>1274370.4099781998</v>
      </c>
      <c r="D39" s="18">
        <f>-'Actuarial balances'!I133</f>
        <v>-78525.613785640278</v>
      </c>
      <c r="E39" s="18">
        <f>-'Actuarial balances'!J133</f>
        <v>-2117223.3040111908</v>
      </c>
      <c r="F39" s="18">
        <f>'Actuarial balances'!F59-'Actuarial balances'!F60</f>
        <v>-3288989.9976470135</v>
      </c>
      <c r="G39" s="18">
        <v>0</v>
      </c>
      <c r="H39" s="18">
        <f>-'Actuarial balances'!E133</f>
        <v>-21674.655685055681</v>
      </c>
      <c r="I39" s="18">
        <f>-'Actuarial balances'!I38</f>
        <v>-785.2561378564028</v>
      </c>
      <c r="J39" s="18">
        <f>-B39*Input!K44</f>
        <v>-113581.69136851544</v>
      </c>
      <c r="K39" s="18">
        <f>'Actuarial balances'!C97</f>
        <v>-564699.02467131231</v>
      </c>
      <c r="L39" s="18">
        <f t="shared" si="1"/>
        <v>136966.03860563505</v>
      </c>
      <c r="N39" s="34">
        <f>'Invested asset rollforwards'!N41-'Invested asset rollforwards'!N40</f>
        <v>83099.623887271388</v>
      </c>
      <c r="O39" s="34">
        <f>'Actuarial balances'!D153-'Actuarial balances'!D154</f>
        <v>-226472.18858271092</v>
      </c>
      <c r="P39" s="44">
        <f t="shared" si="2"/>
        <v>-143372.56469543953</v>
      </c>
      <c r="Q39" s="34">
        <f t="shared" si="3"/>
        <v>-6406.5260898044799</v>
      </c>
    </row>
    <row r="40" spans="1:17" x14ac:dyDescent="0.25">
      <c r="A40" s="12">
        <v>7</v>
      </c>
      <c r="B40" s="18">
        <f>'Actuarial balances'!E39</f>
        <v>4688137.3160247803</v>
      </c>
      <c r="C40" s="18">
        <f>'Invested asset rollforwards'!H42</f>
        <v>1494534.6418919347</v>
      </c>
      <c r="D40" s="18">
        <f>-'Actuarial balances'!I134</f>
        <v>-82302.855103546113</v>
      </c>
      <c r="E40" s="18">
        <f>-'Actuarial balances'!J134</f>
        <v>-2028316.3589283656</v>
      </c>
      <c r="F40" s="18">
        <f>'Actuarial balances'!F60-'Actuarial balances'!F61</f>
        <v>-3189294.1303057</v>
      </c>
      <c r="G40" s="18">
        <v>0</v>
      </c>
      <c r="H40" s="18">
        <f>-'Actuarial balances'!E134</f>
        <v>-20531.79357310784</v>
      </c>
      <c r="I40" s="18">
        <f>-'Actuarial balances'!I39</f>
        <v>-823.02855103546108</v>
      </c>
      <c r="J40" s="18">
        <f>-B40*Input!K45</f>
        <v>-105483.08961055755</v>
      </c>
      <c r="K40" s="18">
        <f>'Actuarial balances'!C98</f>
        <v>-524434.85481419833</v>
      </c>
      <c r="L40" s="18">
        <f t="shared" si="1"/>
        <v>231485.8470302046</v>
      </c>
      <c r="M40" s="20"/>
      <c r="N40" s="34">
        <f>'Invested asset rollforwards'!N42-'Invested asset rollforwards'!N41</f>
        <v>164372.20544959093</v>
      </c>
      <c r="O40" s="34">
        <f>'Actuarial balances'!D154-'Actuarial balances'!D155</f>
        <v>-267643.89607871696</v>
      </c>
      <c r="P40" s="44">
        <f t="shared" si="2"/>
        <v>-103271.69062912604</v>
      </c>
      <c r="Q40" s="34">
        <f t="shared" si="3"/>
        <v>128214.15640107857</v>
      </c>
    </row>
    <row r="41" spans="1:17" x14ac:dyDescent="0.25">
      <c r="A41" s="12">
        <v>8</v>
      </c>
      <c r="B41" s="18">
        <f>'Actuarial balances'!E40</f>
        <v>4399886.2555215331</v>
      </c>
      <c r="C41" s="18">
        <f>'Invested asset rollforwards'!H43</f>
        <v>1725308.4702311202</v>
      </c>
      <c r="D41" s="18">
        <f>-'Actuarial balances'!I135</f>
        <v>-87019.972609203614</v>
      </c>
      <c r="E41" s="18">
        <f>-'Actuarial balances'!J135</f>
        <v>-1854422.9933721637</v>
      </c>
      <c r="F41" s="18">
        <f>'Actuarial balances'!F61-'Actuarial balances'!F62</f>
        <v>-3232652.7033418976</v>
      </c>
      <c r="G41" s="18">
        <v>0</v>
      </c>
      <c r="H41" s="18">
        <f>-'Actuarial balances'!E135</f>
        <v>-19654.779981684722</v>
      </c>
      <c r="I41" s="18">
        <f>-'Actuarial balances'!I40</f>
        <v>-870.19972609203626</v>
      </c>
      <c r="J41" s="18">
        <f>-B41*Input!K46</f>
        <v>-98997.440749234491</v>
      </c>
      <c r="K41" s="18">
        <f>'Actuarial balances'!C99</f>
        <v>-492189.87287897652</v>
      </c>
      <c r="L41" s="18">
        <f t="shared" si="1"/>
        <v>339386.7630934011</v>
      </c>
      <c r="M41" s="20"/>
      <c r="N41" s="34">
        <f>'Invested asset rollforwards'!N43-'Invested asset rollforwards'!N42</f>
        <v>238424.51332996914</v>
      </c>
      <c r="O41" s="34">
        <f>'Actuarial balances'!D155-'Actuarial balances'!D156</f>
        <v>-310483.04882944375</v>
      </c>
      <c r="P41" s="44">
        <f t="shared" si="2"/>
        <v>-72058.535499474616</v>
      </c>
      <c r="Q41" s="34">
        <f t="shared" si="3"/>
        <v>267328.22759392648</v>
      </c>
    </row>
    <row r="42" spans="1:17" x14ac:dyDescent="0.25">
      <c r="A42" s="12">
        <v>9</v>
      </c>
      <c r="B42" s="18">
        <f>'Actuarial balances'!E41</f>
        <v>4172451.73508737</v>
      </c>
      <c r="C42" s="18">
        <f>'Invested asset rollforwards'!H44</f>
        <v>1973365.2221190718</v>
      </c>
      <c r="D42" s="18">
        <f>-'Actuarial balances'!I136</f>
        <v>-93184.75541695123</v>
      </c>
      <c r="E42" s="18">
        <f>-'Actuarial balances'!J136</f>
        <v>-1610105.1747452726</v>
      </c>
      <c r="F42" s="18">
        <f>'Actuarial balances'!F62-'Actuarial balances'!F63</f>
        <v>-3400159.2524330318</v>
      </c>
      <c r="G42" s="18">
        <v>0</v>
      </c>
      <c r="H42" s="18">
        <f>-'Actuarial balances'!E136</f>
        <v>-19011.580844644486</v>
      </c>
      <c r="I42" s="18">
        <f>-'Actuarial balances'!I41</f>
        <v>-931.84755416951236</v>
      </c>
      <c r="J42" s="18">
        <f>-B42*Input!K47</f>
        <v>-93880.164039465817</v>
      </c>
      <c r="K42" s="18">
        <f>'Actuarial balances'!C100</f>
        <v>-466748.0861599893</v>
      </c>
      <c r="L42" s="18">
        <f t="shared" si="1"/>
        <v>461796.09601291717</v>
      </c>
      <c r="N42" s="34">
        <f>'Invested asset rollforwards'!N44-'Invested asset rollforwards'!N43</f>
        <v>311500.71723066526</v>
      </c>
      <c r="O42" s="34">
        <f>'Actuarial balances'!D156-'Actuarial balances'!D157</f>
        <v>-356411.69996745884</v>
      </c>
      <c r="P42" s="44">
        <f t="shared" si="2"/>
        <v>-44910.98273679358</v>
      </c>
      <c r="Q42" s="34">
        <f t="shared" si="3"/>
        <v>416885.11327612359</v>
      </c>
    </row>
    <row r="43" spans="1:17" x14ac:dyDescent="0.25">
      <c r="A43" s="12">
        <v>10</v>
      </c>
      <c r="B43" s="18">
        <f>'Actuarial balances'!E42</f>
        <v>3997502.5028158505</v>
      </c>
      <c r="C43" s="18">
        <f>'Invested asset rollforwards'!H45</f>
        <v>2245575.4846997485</v>
      </c>
      <c r="D43" s="18">
        <f>-'Actuarial balances'!I137</f>
        <v>-99493.395625638892</v>
      </c>
      <c r="E43" s="18">
        <f>-'Actuarial balances'!J137</f>
        <v>-44317201.08010602</v>
      </c>
      <c r="F43" s="18">
        <f>'Actuarial balances'!F63-'Actuarial balances'!F64</f>
        <v>39331063.925859101</v>
      </c>
      <c r="G43" s="18">
        <v>0</v>
      </c>
      <c r="H43" s="18">
        <f>-'Actuarial balances'!E137</f>
        <v>-18578.721521750096</v>
      </c>
      <c r="I43" s="18">
        <f>-'Actuarial balances'!I42</f>
        <v>-994.93395625638902</v>
      </c>
      <c r="J43" s="18">
        <f>-B43*Input!K48</f>
        <v>-89943.806313356632</v>
      </c>
      <c r="K43" s="18">
        <f>'Actuarial balances'!C101</f>
        <v>-447177.52560653549</v>
      </c>
      <c r="L43" s="18">
        <f t="shared" si="1"/>
        <v>600752.45024514513</v>
      </c>
      <c r="N43" s="34">
        <f>'Invested asset rollforwards'!N45-'Invested asset rollforwards'!N44</f>
        <v>388838.86400252569</v>
      </c>
      <c r="O43" s="34">
        <f>'Actuarial balances'!D157-'Actuarial balances'!D158</f>
        <v>-406755.39752461761</v>
      </c>
      <c r="P43" s="44">
        <f t="shared" si="2"/>
        <v>-17916.533522091922</v>
      </c>
      <c r="Q43" s="34">
        <f t="shared" si="3"/>
        <v>582835.9167230532</v>
      </c>
    </row>
    <row r="44" spans="1:17" x14ac:dyDescent="0.25">
      <c r="A44" s="2"/>
      <c r="B44" s="2"/>
      <c r="C44" s="2"/>
      <c r="D44" s="2"/>
      <c r="E44" s="2"/>
      <c r="F44" s="2"/>
      <c r="G44" s="2"/>
      <c r="H44" s="2"/>
      <c r="I44" s="2"/>
      <c r="J44" s="2"/>
      <c r="K44" s="2"/>
    </row>
    <row r="45" spans="1:17" x14ac:dyDescent="0.25">
      <c r="B45" s="18"/>
      <c r="C45" s="18"/>
      <c r="D45" s="18"/>
      <c r="E45" s="18"/>
      <c r="F45" s="18"/>
      <c r="G45" s="18"/>
      <c r="H45" s="18"/>
      <c r="I45" s="18"/>
      <c r="J45" s="18"/>
      <c r="K45" s="18"/>
      <c r="N45" s="34">
        <f t="shared" ref="N45:O45" si="4">SUM(N33:N43)</f>
        <v>0</v>
      </c>
      <c r="O45" s="34">
        <f t="shared" si="4"/>
        <v>0</v>
      </c>
      <c r="P45" s="34">
        <f>SUM(P33:P43)</f>
        <v>0</v>
      </c>
    </row>
    <row r="46" spans="1:17" x14ac:dyDescent="0.25">
      <c r="B46" s="18"/>
      <c r="C46" s="18"/>
      <c r="D46" s="18"/>
      <c r="E46" s="18"/>
      <c r="F46" s="18"/>
      <c r="G46" s="18"/>
      <c r="H46" s="18"/>
      <c r="I46" s="18"/>
      <c r="J46" s="18"/>
      <c r="K46" s="18"/>
    </row>
    <row r="47" spans="1:17" x14ac:dyDescent="0.25">
      <c r="B47" s="18"/>
      <c r="C47" s="18"/>
      <c r="D47" s="18"/>
      <c r="E47" s="18"/>
      <c r="F47" s="18"/>
      <c r="G47" s="18"/>
      <c r="H47" s="18"/>
      <c r="I47" s="18"/>
      <c r="J47" s="18"/>
      <c r="K47" s="18"/>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C45"/>
  <sheetViews>
    <sheetView topLeftCell="A37" workbookViewId="0">
      <selection activeCell="A28" sqref="A28"/>
    </sheetView>
  </sheetViews>
  <sheetFormatPr defaultColWidth="8.7109375" defaultRowHeight="15" x14ac:dyDescent="0.25"/>
  <cols>
    <col min="1" max="1" width="30.28515625" style="12" bestFit="1" customWidth="1"/>
    <col min="2" max="2" width="11" style="12" bestFit="1" customWidth="1"/>
    <col min="3" max="3" width="12.42578125" style="12" customWidth="1"/>
    <col min="4" max="4" width="11" style="12" bestFit="1" customWidth="1"/>
    <col min="5" max="5" width="11.5703125" style="12" bestFit="1" customWidth="1"/>
    <col min="6" max="7" width="11.5703125" style="12" customWidth="1"/>
    <col min="8" max="8" width="12.5703125" style="12" customWidth="1"/>
    <col min="9" max="9" width="10.5703125" style="12" bestFit="1" customWidth="1"/>
    <col min="10" max="10" width="12" style="12" customWidth="1"/>
    <col min="11" max="11" width="12.28515625" style="12" customWidth="1"/>
    <col min="12" max="12" width="12.7109375" style="12" customWidth="1"/>
    <col min="13" max="13" width="8.7109375" style="12"/>
    <col min="14" max="14" width="13.28515625" style="12" customWidth="1"/>
    <col min="15" max="15" width="11.7109375" style="12" bestFit="1" customWidth="1"/>
    <col min="16" max="16" width="8.7109375" style="12"/>
    <col min="17" max="17" width="9.28515625" style="45"/>
    <col min="18" max="18" width="13.42578125" style="12" customWidth="1"/>
    <col min="19" max="19" width="12.5703125" style="12" customWidth="1"/>
    <col min="20" max="20" width="13.42578125" style="12" customWidth="1"/>
    <col min="21" max="21" width="16.28515625" style="12" customWidth="1"/>
    <col min="22" max="22" width="13.42578125" style="21" customWidth="1"/>
    <col min="23" max="23" width="15.5703125" style="12" customWidth="1"/>
    <col min="24" max="24" width="15.28515625" style="12" customWidth="1"/>
    <col min="25" max="16384" width="8.7109375" style="12"/>
  </cols>
  <sheetData>
    <row r="1" spans="1:29" x14ac:dyDescent="0.25">
      <c r="A1" s="13" t="s">
        <v>146</v>
      </c>
    </row>
    <row r="2" spans="1:29" x14ac:dyDescent="0.25">
      <c r="A2" s="11" t="s">
        <v>147</v>
      </c>
    </row>
    <row r="3" spans="1:29" x14ac:dyDescent="0.25">
      <c r="A3" s="15" t="s">
        <v>148</v>
      </c>
    </row>
    <row r="4" spans="1:29" x14ac:dyDescent="0.25">
      <c r="A4" s="16" t="s">
        <v>149</v>
      </c>
    </row>
    <row r="6" spans="1:29" x14ac:dyDescent="0.25">
      <c r="A6" s="1" t="s">
        <v>48</v>
      </c>
    </row>
    <row r="8" spans="1:29" x14ac:dyDescent="0.25">
      <c r="A8" s="1" t="s">
        <v>83</v>
      </c>
    </row>
    <row r="10" spans="1:29" x14ac:dyDescent="0.25">
      <c r="A10" s="3" t="s">
        <v>49</v>
      </c>
    </row>
    <row r="11" spans="1:29" x14ac:dyDescent="0.25">
      <c r="A11" s="3"/>
    </row>
    <row r="12" spans="1:29" x14ac:dyDescent="0.25">
      <c r="B12" s="20"/>
      <c r="C12" s="20" t="s">
        <v>25</v>
      </c>
      <c r="D12" s="20" t="s">
        <v>41</v>
      </c>
      <c r="E12" s="20"/>
      <c r="F12" s="20"/>
      <c r="G12" s="20"/>
      <c r="I12" s="20"/>
      <c r="J12" s="20"/>
      <c r="K12" s="20"/>
      <c r="L12" s="20" t="s">
        <v>51</v>
      </c>
      <c r="Q12" s="92"/>
      <c r="R12" s="92"/>
      <c r="S12" s="92"/>
      <c r="T12" s="92"/>
      <c r="U12" s="92"/>
      <c r="V12" s="92"/>
      <c r="W12" s="92"/>
      <c r="X12" s="92"/>
      <c r="Z12" s="20"/>
      <c r="AA12" s="20"/>
      <c r="AB12" s="20"/>
      <c r="AC12" s="20"/>
    </row>
    <row r="13" spans="1:29" x14ac:dyDescent="0.25">
      <c r="A13" s="20" t="s">
        <v>0</v>
      </c>
      <c r="B13" s="20"/>
      <c r="C13" s="20" t="s">
        <v>10</v>
      </c>
      <c r="D13" s="20" t="s">
        <v>27</v>
      </c>
      <c r="E13" s="20" t="s">
        <v>9</v>
      </c>
      <c r="F13" s="20" t="s">
        <v>112</v>
      </c>
      <c r="G13" s="20" t="s">
        <v>4</v>
      </c>
      <c r="H13" s="20" t="s">
        <v>7</v>
      </c>
      <c r="I13" s="20" t="s">
        <v>43</v>
      </c>
      <c r="J13" s="20" t="s">
        <v>11</v>
      </c>
      <c r="K13" s="20" t="s">
        <v>16</v>
      </c>
      <c r="L13" s="20" t="s">
        <v>14</v>
      </c>
      <c r="R13" s="20"/>
      <c r="S13" s="20"/>
      <c r="T13" s="45"/>
      <c r="U13" s="20"/>
      <c r="W13" s="20"/>
    </row>
    <row r="14" spans="1:29" x14ac:dyDescent="0.25">
      <c r="A14" s="2" t="s">
        <v>1</v>
      </c>
      <c r="B14" s="2" t="s">
        <v>4</v>
      </c>
      <c r="C14" s="2" t="s">
        <v>37</v>
      </c>
      <c r="D14" s="2" t="s">
        <v>37</v>
      </c>
      <c r="E14" s="2" t="s">
        <v>37</v>
      </c>
      <c r="F14" s="2" t="s">
        <v>37</v>
      </c>
      <c r="G14" s="2" t="s">
        <v>57</v>
      </c>
      <c r="H14" s="2" t="s">
        <v>8</v>
      </c>
      <c r="I14" s="2" t="s">
        <v>44</v>
      </c>
      <c r="J14" s="2" t="s">
        <v>44</v>
      </c>
      <c r="K14" s="2" t="s">
        <v>50</v>
      </c>
      <c r="L14" s="2" t="s">
        <v>35</v>
      </c>
      <c r="R14" s="20"/>
      <c r="S14" s="20"/>
      <c r="T14" s="45"/>
      <c r="U14" s="20"/>
      <c r="W14" s="46"/>
    </row>
    <row r="15" spans="1:29" x14ac:dyDescent="0.25">
      <c r="D15" s="22"/>
      <c r="K15" s="29"/>
      <c r="L15" s="29">
        <v>0</v>
      </c>
    </row>
    <row r="16" spans="1:29" x14ac:dyDescent="0.25">
      <c r="A16" s="12">
        <v>1</v>
      </c>
      <c r="B16" s="29">
        <f>'Income statement'!B14</f>
        <v>9000000</v>
      </c>
      <c r="C16" s="29">
        <f>-'Actuarial balances'!D74</f>
        <v>-6400000</v>
      </c>
      <c r="D16" s="29">
        <f>'Income statement'!G14</f>
        <v>-100000</v>
      </c>
      <c r="E16" s="29">
        <f>'Income statement'!H14</f>
        <v>-35000</v>
      </c>
      <c r="F16" s="29">
        <f>'Income statement'!I14</f>
        <v>-630</v>
      </c>
      <c r="G16" s="29">
        <f>'Income statement'!J14</f>
        <v>-202500</v>
      </c>
      <c r="H16" s="29">
        <f>Input!C18*('Invested asset rollforwards'!L15+'Invested asset rollforwards'!B16+'Invested asset rollforwards'!C16+'Invested asset rollforwards'!D16+'Invested asset rollforwards'!E16+G16)</f>
        <v>96156.25</v>
      </c>
      <c r="I16" s="29">
        <f>'Income statement'!D14</f>
        <v>-63000</v>
      </c>
      <c r="J16" s="29">
        <f>'Income statement'!E14</f>
        <v>0</v>
      </c>
      <c r="K16" s="29">
        <f>-'Income statement'!L14</f>
        <v>158172.20639250951</v>
      </c>
      <c r="L16" s="29">
        <f t="shared" ref="L16:L25" si="0">L15+SUM(B16:K16)</f>
        <v>2453198.4563925094</v>
      </c>
      <c r="R16" s="29"/>
      <c r="S16" s="29"/>
      <c r="T16" s="29"/>
      <c r="U16" s="29"/>
      <c r="V16" s="47"/>
      <c r="W16" s="29"/>
    </row>
    <row r="17" spans="1:24" x14ac:dyDescent="0.25">
      <c r="A17" s="12">
        <v>2</v>
      </c>
      <c r="B17" s="29">
        <f>'Income statement'!B15</f>
        <v>7645180.5</v>
      </c>
      <c r="C17" s="29">
        <f>-'Actuarial balances'!D75</f>
        <v>0</v>
      </c>
      <c r="D17" s="29">
        <f>'Income statement'!G15</f>
        <v>0</v>
      </c>
      <c r="E17" s="29">
        <f>'Income statement'!H15</f>
        <v>-30325.882650000003</v>
      </c>
      <c r="F17" s="29">
        <f>'Income statement'!I15</f>
        <v>-654.08766500000002</v>
      </c>
      <c r="G17" s="29">
        <f>'Income statement'!J15</f>
        <v>-172016.56125</v>
      </c>
      <c r="H17" s="29">
        <f>Input!C19*('Invested asset rollforwards'!L16+'Invested asset rollforwards'!B17+'Invested asset rollforwards'!C17+'Invested asset rollforwards'!D17+'Invested asset rollforwards'!E17+G17)</f>
        <v>420581.55178093177</v>
      </c>
      <c r="I17" s="29">
        <f>'Income statement'!D15</f>
        <v>-65408.766499999998</v>
      </c>
      <c r="J17" s="29">
        <f>'Income statement'!E15</f>
        <v>-1018572.4948019999</v>
      </c>
      <c r="K17" s="29">
        <f>-'Income statement'!L15</f>
        <v>24966.43511224119</v>
      </c>
      <c r="L17" s="29">
        <f t="shared" si="0"/>
        <v>9256949.150418682</v>
      </c>
      <c r="R17" s="29"/>
      <c r="S17" s="29"/>
      <c r="T17" s="29"/>
      <c r="U17" s="29"/>
      <c r="V17" s="47"/>
      <c r="W17" s="29"/>
      <c r="X17" s="29"/>
    </row>
    <row r="18" spans="1:24" x14ac:dyDescent="0.25">
      <c r="A18" s="12">
        <v>3</v>
      </c>
      <c r="B18" s="29">
        <f>'Income statement'!B16</f>
        <v>6722578.4656932</v>
      </c>
      <c r="C18" s="29">
        <f>-'Actuarial balances'!D76</f>
        <v>0</v>
      </c>
      <c r="D18" s="29">
        <f>'Income statement'!G16</f>
        <v>0</v>
      </c>
      <c r="E18" s="29">
        <f>'Income statement'!H16</f>
        <v>-27199.552472194689</v>
      </c>
      <c r="F18" s="29">
        <f>'Income statement'!I16</f>
        <v>-739.48363122625199</v>
      </c>
      <c r="G18" s="29">
        <f>'Income statement'!J16</f>
        <v>-151258.01547809699</v>
      </c>
      <c r="H18" s="29">
        <f>Input!C20*('Invested asset rollforwards'!L17+'Invested asset rollforwards'!B18+'Invested asset rollforwards'!C18+'Invested asset rollforwards'!D18+'Invested asset rollforwards'!E18+G18)</f>
        <v>671545.4770468676</v>
      </c>
      <c r="I18" s="29">
        <f>'Income statement'!D16</f>
        <v>-73948.363122625189</v>
      </c>
      <c r="J18" s="29">
        <f>'Income statement'!E16</f>
        <v>-1567048.7263695048</v>
      </c>
      <c r="K18" s="29">
        <f>-'Income statement'!L16</f>
        <v>-3415.2003332249587</v>
      </c>
      <c r="L18" s="29">
        <f t="shared" si="0"/>
        <v>14827463.751751877</v>
      </c>
      <c r="R18" s="29"/>
      <c r="S18" s="29"/>
      <c r="T18" s="29"/>
      <c r="U18" s="29"/>
      <c r="V18" s="47"/>
      <c r="W18" s="29"/>
      <c r="X18" s="29"/>
    </row>
    <row r="19" spans="1:24" x14ac:dyDescent="0.25">
      <c r="A19" s="12">
        <v>4</v>
      </c>
      <c r="B19" s="29">
        <f>'Income statement'!B17</f>
        <v>6044330.8017109474</v>
      </c>
      <c r="C19" s="29">
        <f>-'Actuarial balances'!D77</f>
        <v>0</v>
      </c>
      <c r="D19" s="29">
        <f>'Income statement'!G17</f>
        <v>0</v>
      </c>
      <c r="E19" s="29">
        <f>'Income statement'!H17</f>
        <v>-24944.469672196941</v>
      </c>
      <c r="F19" s="29">
        <f>'Income statement'!I17</f>
        <v>-765.61523488338662</v>
      </c>
      <c r="G19" s="29">
        <f>'Income statement'!J17</f>
        <v>-135997.44303849631</v>
      </c>
      <c r="H19" s="29">
        <f>Input!C21*('Invested asset rollforwards'!L18+'Invested asset rollforwards'!B19+'Invested asset rollforwards'!C19+'Invested asset rollforwards'!D19+'Invested asset rollforwards'!E19+G19)</f>
        <v>880211.23723196576</v>
      </c>
      <c r="I19" s="29">
        <f>'Income statement'!D17</f>
        <v>-76561.523488338644</v>
      </c>
      <c r="J19" s="29">
        <f>'Income statement'!E17</f>
        <v>-1931980.8846710389</v>
      </c>
      <c r="K19" s="29">
        <f>-'Income statement'!L17</f>
        <v>-30588.794972586795</v>
      </c>
      <c r="L19" s="29">
        <f t="shared" si="0"/>
        <v>19551167.059617251</v>
      </c>
      <c r="R19" s="29"/>
      <c r="S19" s="29"/>
      <c r="T19" s="29"/>
      <c r="U19" s="29"/>
      <c r="V19" s="47"/>
      <c r="W19" s="29"/>
      <c r="X19" s="29"/>
    </row>
    <row r="20" spans="1:24" x14ac:dyDescent="0.25">
      <c r="A20" s="12">
        <v>5</v>
      </c>
      <c r="B20" s="29">
        <f>'Income statement'!B18</f>
        <v>5494070.6407832671</v>
      </c>
      <c r="C20" s="29">
        <f>-'Actuarial balances'!D78</f>
        <v>0</v>
      </c>
      <c r="D20" s="29">
        <f>'Income statement'!G18</f>
        <v>0</v>
      </c>
      <c r="E20" s="29">
        <f>'Income statement'!H18</f>
        <v>-23127.061809038503</v>
      </c>
      <c r="F20" s="29">
        <f>'Income statement'!I18</f>
        <v>-781.37893557806456</v>
      </c>
      <c r="G20" s="29">
        <f>'Income statement'!J18</f>
        <v>-123616.5894176235</v>
      </c>
      <c r="H20" s="29">
        <f>Input!C22*('Invested asset rollforwards'!L19+'Invested asset rollforwards'!B20+'Invested asset rollforwards'!C20+'Invested asset rollforwards'!D20+'Invested asset rollforwards'!E20+G20)</f>
        <v>1058185.9970898889</v>
      </c>
      <c r="I20" s="29">
        <f>'Income statement'!D18</f>
        <v>-78137.89355780647</v>
      </c>
      <c r="J20" s="29">
        <f>'Income statement'!E18</f>
        <v>-2097267.9458276597</v>
      </c>
      <c r="K20" s="29">
        <f>-'Income statement'!L18</f>
        <v>-55774.349942253204</v>
      </c>
      <c r="L20" s="29">
        <f t="shared" si="0"/>
        <v>23724718.478000447</v>
      </c>
      <c r="R20" s="29"/>
      <c r="S20" s="29"/>
      <c r="T20" s="29"/>
      <c r="U20" s="29"/>
      <c r="V20" s="47"/>
      <c r="W20" s="29"/>
      <c r="X20" s="29"/>
    </row>
    <row r="21" spans="1:24" x14ac:dyDescent="0.25">
      <c r="A21" s="12">
        <v>6</v>
      </c>
      <c r="B21" s="29">
        <f>'Income statement'!B19</f>
        <v>5048075.1719340198</v>
      </c>
      <c r="C21" s="29">
        <f>-'Actuarial balances'!D79</f>
        <v>0</v>
      </c>
      <c r="D21" s="29">
        <f>'Income statement'!G19</f>
        <v>0</v>
      </c>
      <c r="E21" s="29">
        <f>'Income statement'!H19</f>
        <v>-21674.655685055681</v>
      </c>
      <c r="F21" s="29">
        <f>'Income statement'!I19</f>
        <v>-785.2561378564028</v>
      </c>
      <c r="G21" s="29">
        <f>'Income statement'!J19</f>
        <v>-113581.69136851544</v>
      </c>
      <c r="H21" s="29">
        <f>Input!C23*('Invested asset rollforwards'!L20+'Invested asset rollforwards'!B21+'Invested asset rollforwards'!C21+'Invested asset rollforwards'!D21+'Invested asset rollforwards'!E21+G21)</f>
        <v>1217095.3353724382</v>
      </c>
      <c r="I21" s="29">
        <f>'Income statement'!D19</f>
        <v>-78525.613785640278</v>
      </c>
      <c r="J21" s="29">
        <f>'Income statement'!E19</f>
        <v>-2117223.3040111908</v>
      </c>
      <c r="K21" s="29">
        <f>-'Income statement'!L19</f>
        <v>-79690.963999873959</v>
      </c>
      <c r="L21" s="29">
        <f t="shared" si="0"/>
        <v>27578407.500318773</v>
      </c>
      <c r="R21" s="29"/>
      <c r="S21" s="29"/>
      <c r="T21" s="29"/>
      <c r="U21" s="29"/>
      <c r="V21" s="47"/>
      <c r="W21" s="29"/>
      <c r="X21" s="29"/>
    </row>
    <row r="22" spans="1:24" x14ac:dyDescent="0.25">
      <c r="A22" s="12">
        <v>7</v>
      </c>
      <c r="B22" s="29">
        <f>'Income statement'!B20</f>
        <v>4688137.3160247803</v>
      </c>
      <c r="C22" s="29">
        <f>-'Actuarial balances'!D80</f>
        <v>0</v>
      </c>
      <c r="D22" s="29">
        <f>'Income statement'!G20</f>
        <v>0</v>
      </c>
      <c r="E22" s="29">
        <f>'Income statement'!H20</f>
        <v>-20531.79357310784</v>
      </c>
      <c r="F22" s="29">
        <f>'Income statement'!I20</f>
        <v>-823.02855103546108</v>
      </c>
      <c r="G22" s="29">
        <f>'Income statement'!J20</f>
        <v>-105483.08961055755</v>
      </c>
      <c r="H22" s="29">
        <f>Input!C24*('Invested asset rollforwards'!L21+'Invested asset rollforwards'!B22+'Invested asset rollforwards'!C22+'Invested asset rollforwards'!D22+'Invested asset rollforwards'!E22+G22)</f>
        <v>1365972.5221592954</v>
      </c>
      <c r="I22" s="29">
        <f>'Income statement'!D20</f>
        <v>-82302.855103546113</v>
      </c>
      <c r="J22" s="29">
        <f>'Income statement'!E20</f>
        <v>-2028316.3589283656</v>
      </c>
      <c r="K22" s="29">
        <f>-'Income statement'!L20</f>
        <v>-102923.72729756485</v>
      </c>
      <c r="L22" s="29">
        <f t="shared" si="0"/>
        <v>31292136.485438671</v>
      </c>
      <c r="R22" s="29"/>
      <c r="S22" s="29"/>
      <c r="T22" s="29"/>
      <c r="U22" s="29"/>
      <c r="V22" s="47"/>
      <c r="W22" s="29"/>
      <c r="X22" s="29"/>
    </row>
    <row r="23" spans="1:24" x14ac:dyDescent="0.25">
      <c r="A23" s="12">
        <v>8</v>
      </c>
      <c r="B23" s="29">
        <f>'Income statement'!B21</f>
        <v>4399886.2555215331</v>
      </c>
      <c r="C23" s="29">
        <f>-'Actuarial balances'!D81</f>
        <v>0</v>
      </c>
      <c r="D23" s="29">
        <f>'Income statement'!G21</f>
        <v>0</v>
      </c>
      <c r="E23" s="29">
        <f>'Income statement'!H21</f>
        <v>-19654.779981684722</v>
      </c>
      <c r="F23" s="29">
        <f>'Income statement'!I21</f>
        <v>-870.19972609203626</v>
      </c>
      <c r="G23" s="29">
        <f>'Income statement'!J21</f>
        <v>-98997.440749234491</v>
      </c>
      <c r="H23" s="29">
        <f>Input!C25*('Invested asset rollforwards'!L22+'Invested asset rollforwards'!B23+'Invested asset rollforwards'!C23+'Invested asset rollforwards'!D23+'Invested asset rollforwards'!E23+G23)</f>
        <v>1511868.2471097445</v>
      </c>
      <c r="I23" s="29">
        <f>'Income statement'!D21</f>
        <v>-87019.972609203614</v>
      </c>
      <c r="J23" s="29">
        <f>'Income statement'!E21</f>
        <v>-1854422.9933721637</v>
      </c>
      <c r="K23" s="29">
        <f>-'Income statement'!L21</f>
        <v>-125946.53997202532</v>
      </c>
      <c r="L23" s="29">
        <f t="shared" si="0"/>
        <v>35016979.061659545</v>
      </c>
      <c r="R23" s="29"/>
      <c r="S23" s="29"/>
      <c r="T23" s="29"/>
      <c r="U23" s="29"/>
      <c r="V23" s="47"/>
      <c r="W23" s="29"/>
      <c r="X23" s="29"/>
    </row>
    <row r="24" spans="1:24" x14ac:dyDescent="0.25">
      <c r="A24" s="12">
        <v>9</v>
      </c>
      <c r="B24" s="29">
        <f>'Income statement'!B22</f>
        <v>4172451.73508737</v>
      </c>
      <c r="C24" s="29">
        <f>-'Actuarial balances'!D82</f>
        <v>0</v>
      </c>
      <c r="D24" s="29">
        <f>'Income statement'!G22</f>
        <v>0</v>
      </c>
      <c r="E24" s="29">
        <f>'Income statement'!H22</f>
        <v>-19011.580844644486</v>
      </c>
      <c r="F24" s="29">
        <f>'Income statement'!I22</f>
        <v>-931.84755416951236</v>
      </c>
      <c r="G24" s="29">
        <f>'Income statement'!J22</f>
        <v>-93880.164039465817</v>
      </c>
      <c r="H24" s="29">
        <f>Input!C26*('Invested asset rollforwards'!L23+'Invested asset rollforwards'!B24+'Invested asset rollforwards'!C24+'Invested asset rollforwards'!D24+'Invested asset rollforwards'!E24+G24)</f>
        <v>1660752.9097041695</v>
      </c>
      <c r="I24" s="29">
        <f>'Income statement'!D22</f>
        <v>-93184.75541695123</v>
      </c>
      <c r="J24" s="29">
        <f>'Income statement'!E22</f>
        <v>-1610105.1747452726</v>
      </c>
      <c r="K24" s="29">
        <f>-'Income statement'!L22</f>
        <v>-149183.78359801491</v>
      </c>
      <c r="L24" s="29">
        <f t="shared" si="0"/>
        <v>38883886.400252566</v>
      </c>
      <c r="R24" s="29"/>
      <c r="S24" s="29"/>
      <c r="T24" s="29"/>
      <c r="U24" s="29"/>
      <c r="V24" s="47"/>
      <c r="W24" s="29"/>
      <c r="X24" s="29"/>
    </row>
    <row r="25" spans="1:24" x14ac:dyDescent="0.25">
      <c r="A25" s="12">
        <v>10</v>
      </c>
      <c r="B25" s="29">
        <f>'Income statement'!B23</f>
        <v>3997502.5028158505</v>
      </c>
      <c r="C25" s="29">
        <f>-'Actuarial balances'!D83</f>
        <v>0</v>
      </c>
      <c r="D25" s="29">
        <f>'Income statement'!G23</f>
        <v>0</v>
      </c>
      <c r="E25" s="29">
        <f>'Income statement'!H23</f>
        <v>-18578.721521750096</v>
      </c>
      <c r="F25" s="29">
        <f>'Income statement'!I23</f>
        <v>-994.93395625638902</v>
      </c>
      <c r="G25" s="29">
        <f>'Income statement'!J23</f>
        <v>-89943.806313356632</v>
      </c>
      <c r="H25" s="29">
        <f>Input!C27*('Invested asset rollforwards'!L24+'Invested asset rollforwards'!B25+'Invested asset rollforwards'!C25+'Invested asset rollforwards'!D25+'Invested asset rollforwards'!E25+G25)</f>
        <v>1817846.8209474157</v>
      </c>
      <c r="I25" s="29">
        <f>'Income statement'!D23</f>
        <v>-99493.395625638892</v>
      </c>
      <c r="J25" s="29">
        <f>'Income statement'!E23</f>
        <v>-44317201.08010602</v>
      </c>
      <c r="K25" s="29">
        <f>-'Income statement'!L23</f>
        <v>-173023.7864928128</v>
      </c>
      <c r="L25" s="29">
        <f t="shared" si="0"/>
        <v>0</v>
      </c>
      <c r="R25" s="29"/>
      <c r="S25" s="29"/>
      <c r="T25" s="29"/>
      <c r="U25" s="29"/>
      <c r="V25" s="47"/>
      <c r="W25" s="29"/>
      <c r="X25" s="29"/>
    </row>
    <row r="26" spans="1:24" x14ac:dyDescent="0.25">
      <c r="B26" s="29"/>
      <c r="C26" s="29"/>
      <c r="D26" s="29"/>
      <c r="E26" s="29"/>
      <c r="F26" s="29"/>
      <c r="G26" s="29"/>
      <c r="H26" s="29"/>
      <c r="I26" s="29"/>
      <c r="J26" s="29"/>
      <c r="K26" s="29"/>
      <c r="L26" s="29"/>
    </row>
    <row r="27" spans="1:24" x14ac:dyDescent="0.25">
      <c r="A27" s="4" t="s">
        <v>173</v>
      </c>
    </row>
    <row r="29" spans="1:24" x14ac:dyDescent="0.25">
      <c r="A29" s="3" t="s">
        <v>49</v>
      </c>
    </row>
    <row r="30" spans="1:24" x14ac:dyDescent="0.25">
      <c r="A30" s="3"/>
    </row>
    <row r="31" spans="1:24" x14ac:dyDescent="0.25">
      <c r="A31" s="3"/>
      <c r="L31" s="20" t="s">
        <v>104</v>
      </c>
      <c r="O31" s="20" t="s">
        <v>108</v>
      </c>
    </row>
    <row r="32" spans="1:24" x14ac:dyDescent="0.25">
      <c r="B32" s="20"/>
      <c r="C32" s="20" t="s">
        <v>25</v>
      </c>
      <c r="D32" s="20" t="s">
        <v>41</v>
      </c>
      <c r="E32" s="20"/>
      <c r="F32" s="20"/>
      <c r="G32" s="20"/>
      <c r="I32" s="20"/>
      <c r="J32" s="20"/>
      <c r="K32" s="20"/>
      <c r="L32" s="20" t="s">
        <v>51</v>
      </c>
      <c r="M32" s="12" t="s">
        <v>105</v>
      </c>
      <c r="O32" s="20" t="s">
        <v>51</v>
      </c>
      <c r="Q32" s="93" t="s">
        <v>141</v>
      </c>
      <c r="R32" s="93"/>
      <c r="S32" s="93"/>
      <c r="T32" s="93"/>
      <c r="U32" s="93"/>
      <c r="V32" s="93"/>
      <c r="W32" s="93"/>
      <c r="X32" s="48"/>
    </row>
    <row r="33" spans="1:23" x14ac:dyDescent="0.25">
      <c r="A33" s="20" t="s">
        <v>0</v>
      </c>
      <c r="B33" s="20"/>
      <c r="C33" s="20" t="s">
        <v>10</v>
      </c>
      <c r="D33" s="20" t="s">
        <v>27</v>
      </c>
      <c r="E33" s="20" t="s">
        <v>9</v>
      </c>
      <c r="F33" s="20" t="s">
        <v>112</v>
      </c>
      <c r="G33" s="20" t="s">
        <v>4</v>
      </c>
      <c r="H33" s="20" t="s">
        <v>7</v>
      </c>
      <c r="I33" s="20" t="s">
        <v>43</v>
      </c>
      <c r="J33" s="20" t="s">
        <v>11</v>
      </c>
      <c r="K33" s="20" t="s">
        <v>16</v>
      </c>
      <c r="L33" s="20" t="s">
        <v>14</v>
      </c>
      <c r="M33" s="20" t="s">
        <v>106</v>
      </c>
      <c r="N33" s="20" t="s">
        <v>105</v>
      </c>
      <c r="O33" s="20" t="s">
        <v>14</v>
      </c>
      <c r="Q33" s="49" t="s">
        <v>0</v>
      </c>
      <c r="R33" s="50" t="s">
        <v>124</v>
      </c>
      <c r="S33" s="49" t="s">
        <v>7</v>
      </c>
      <c r="T33" s="51" t="s">
        <v>120</v>
      </c>
      <c r="U33" s="52" t="s">
        <v>122</v>
      </c>
      <c r="V33" s="52" t="s">
        <v>128</v>
      </c>
      <c r="W33" s="50" t="s">
        <v>122</v>
      </c>
    </row>
    <row r="34" spans="1:23" x14ac:dyDescent="0.25">
      <c r="A34" s="2" t="s">
        <v>1</v>
      </c>
      <c r="B34" s="2" t="s">
        <v>4</v>
      </c>
      <c r="C34" s="2" t="s">
        <v>37</v>
      </c>
      <c r="D34" s="2" t="s">
        <v>37</v>
      </c>
      <c r="E34" s="2" t="s">
        <v>37</v>
      </c>
      <c r="F34" s="2" t="s">
        <v>37</v>
      </c>
      <c r="G34" s="2" t="s">
        <v>57</v>
      </c>
      <c r="H34" s="2" t="s">
        <v>8</v>
      </c>
      <c r="I34" s="2" t="s">
        <v>44</v>
      </c>
      <c r="J34" s="2" t="s">
        <v>44</v>
      </c>
      <c r="K34" s="2" t="s">
        <v>50</v>
      </c>
      <c r="L34" s="2" t="s">
        <v>35</v>
      </c>
      <c r="M34" s="2" t="s">
        <v>68</v>
      </c>
      <c r="N34" s="2" t="s">
        <v>106</v>
      </c>
      <c r="O34" s="2" t="s">
        <v>35</v>
      </c>
      <c r="Q34" s="53" t="s">
        <v>1</v>
      </c>
      <c r="R34" s="54" t="s">
        <v>125</v>
      </c>
      <c r="S34" s="53" t="s">
        <v>8</v>
      </c>
      <c r="T34" s="55" t="s">
        <v>121</v>
      </c>
      <c r="U34" s="56" t="s">
        <v>123</v>
      </c>
      <c r="V34" s="56" t="s">
        <v>127</v>
      </c>
      <c r="W34" s="57" t="s">
        <v>123</v>
      </c>
    </row>
    <row r="35" spans="1:23" x14ac:dyDescent="0.25">
      <c r="D35" s="22"/>
      <c r="K35" s="29"/>
      <c r="L35" s="29">
        <v>0</v>
      </c>
      <c r="Q35" s="58"/>
      <c r="R35" s="59"/>
      <c r="S35" s="59"/>
      <c r="T35" s="60"/>
      <c r="U35" s="61" t="s">
        <v>104</v>
      </c>
      <c r="V35" s="61" t="s">
        <v>129</v>
      </c>
      <c r="W35" s="54" t="s">
        <v>126</v>
      </c>
    </row>
    <row r="36" spans="1:23" x14ac:dyDescent="0.25">
      <c r="A36" s="12">
        <v>1</v>
      </c>
      <c r="B36" s="29">
        <f>B16</f>
        <v>9000000</v>
      </c>
      <c r="C36" s="29">
        <f t="shared" ref="C36:J36" si="1">C16</f>
        <v>-6400000</v>
      </c>
      <c r="D36" s="29">
        <f t="shared" si="1"/>
        <v>-100000</v>
      </c>
      <c r="E36" s="29">
        <f t="shared" si="1"/>
        <v>-35000</v>
      </c>
      <c r="F36" s="29">
        <f t="shared" si="1"/>
        <v>-630</v>
      </c>
      <c r="G36" s="29">
        <f t="shared" si="1"/>
        <v>-202500</v>
      </c>
      <c r="H36" s="29">
        <f>Input!C39*('Invested asset rollforwards'!L35+'Invested asset rollforwards'!B36+'Invested asset rollforwards'!C36+'Invested asset rollforwards'!D36+'Invested asset rollforwards'!E36+G36)</f>
        <v>96156.25</v>
      </c>
      <c r="I36" s="29">
        <f t="shared" si="1"/>
        <v>-63000</v>
      </c>
      <c r="J36" s="29">
        <f t="shared" si="1"/>
        <v>0</v>
      </c>
      <c r="K36" s="29">
        <f>-'Income statement'!L34</f>
        <v>158172.20639250951</v>
      </c>
      <c r="L36" s="29">
        <f t="shared" ref="L36:L45" si="2">L35+SUM(B36:K36)</f>
        <v>2453198.4563925094</v>
      </c>
      <c r="M36" s="27">
        <f>Input!O39</f>
        <v>0</v>
      </c>
      <c r="N36" s="29">
        <f>L36*M36</f>
        <v>0</v>
      </c>
      <c r="O36" s="29">
        <f>L36+N36</f>
        <v>2453198.4563925094</v>
      </c>
      <c r="Q36" s="58">
        <f>A36</f>
        <v>1</v>
      </c>
      <c r="R36" s="62">
        <f>B36+C36+D36+E36+F36+G36+I36+J36</f>
        <v>2198870</v>
      </c>
      <c r="S36" s="62">
        <f t="shared" ref="S36:S45" si="3">H36</f>
        <v>96156.25</v>
      </c>
      <c r="T36" s="62">
        <f t="shared" ref="T36:T45" si="4">K36</f>
        <v>158172.20639250951</v>
      </c>
      <c r="U36" s="63">
        <f>R36+S36+T36</f>
        <v>2453198.4563925094</v>
      </c>
      <c r="V36" s="64">
        <f>M36</f>
        <v>0</v>
      </c>
      <c r="W36" s="63">
        <f>O36</f>
        <v>2453198.4563925094</v>
      </c>
    </row>
    <row r="37" spans="1:23" x14ac:dyDescent="0.25">
      <c r="A37" s="12">
        <v>2</v>
      </c>
      <c r="B37" s="29">
        <f t="shared" ref="B37:J45" si="5">B17</f>
        <v>7645180.5</v>
      </c>
      <c r="C37" s="29">
        <f t="shared" si="5"/>
        <v>0</v>
      </c>
      <c r="D37" s="29">
        <f t="shared" si="5"/>
        <v>0</v>
      </c>
      <c r="E37" s="29">
        <f t="shared" si="5"/>
        <v>-30325.882650000003</v>
      </c>
      <c r="F37" s="29">
        <f t="shared" si="5"/>
        <v>-654.08766500000002</v>
      </c>
      <c r="G37" s="29">
        <f t="shared" si="5"/>
        <v>-172016.56125</v>
      </c>
      <c r="H37" s="29">
        <f>Input!C40*('Invested asset rollforwards'!L36+'Invested asset rollforwards'!B37+'Invested asset rollforwards'!C37+'Invested asset rollforwards'!D37+'Invested asset rollforwards'!E37+G37)</f>
        <v>420581.55178093177</v>
      </c>
      <c r="I37" s="29">
        <f t="shared" si="5"/>
        <v>-65408.766499999998</v>
      </c>
      <c r="J37" s="29">
        <f t="shared" si="5"/>
        <v>-1018572.4948019999</v>
      </c>
      <c r="K37" s="29">
        <f>-'Income statement'!L35</f>
        <v>24966.43511224119</v>
      </c>
      <c r="L37" s="29">
        <f t="shared" si="2"/>
        <v>9256949.150418682</v>
      </c>
      <c r="M37" s="27">
        <f>Input!O40</f>
        <v>0</v>
      </c>
      <c r="N37" s="29">
        <f t="shared" ref="N37:N45" si="6">L37*M37</f>
        <v>0</v>
      </c>
      <c r="O37" s="29">
        <f t="shared" ref="O37:O45" si="7">L37+N37</f>
        <v>9256949.150418682</v>
      </c>
      <c r="Q37" s="58">
        <f t="shared" ref="Q37:Q45" si="8">A37</f>
        <v>2</v>
      </c>
      <c r="R37" s="62">
        <f t="shared" ref="R37:R45" si="9">B37+C37+D37+E37+F37+G37+I37+J37</f>
        <v>6358202.7071329998</v>
      </c>
      <c r="S37" s="62">
        <f t="shared" si="3"/>
        <v>420581.55178093177</v>
      </c>
      <c r="T37" s="62">
        <f t="shared" si="4"/>
        <v>24966.43511224119</v>
      </c>
      <c r="U37" s="62">
        <f t="shared" ref="U37:U45" si="10">R37+S37+T37+U36</f>
        <v>9256949.150418682</v>
      </c>
      <c r="V37" s="64">
        <f t="shared" ref="V37:V44" si="11">M37</f>
        <v>0</v>
      </c>
      <c r="W37" s="62">
        <f t="shared" ref="W37:W45" si="12">O37</f>
        <v>9256949.150418682</v>
      </c>
    </row>
    <row r="38" spans="1:23" x14ac:dyDescent="0.25">
      <c r="A38" s="12">
        <v>3</v>
      </c>
      <c r="B38" s="29">
        <f t="shared" si="5"/>
        <v>6722578.4656932</v>
      </c>
      <c r="C38" s="29">
        <f t="shared" si="5"/>
        <v>0</v>
      </c>
      <c r="D38" s="29">
        <f t="shared" si="5"/>
        <v>0</v>
      </c>
      <c r="E38" s="29">
        <f t="shared" si="5"/>
        <v>-27199.552472194689</v>
      </c>
      <c r="F38" s="29">
        <f t="shared" si="5"/>
        <v>-739.48363122625199</v>
      </c>
      <c r="G38" s="29">
        <f t="shared" si="5"/>
        <v>-151258.01547809699</v>
      </c>
      <c r="H38" s="29">
        <f>Input!C41*('Invested asset rollforwards'!L37+'Invested asset rollforwards'!B38+'Invested asset rollforwards'!C38+'Invested asset rollforwards'!D38+'Invested asset rollforwards'!E38+G38)</f>
        <v>671545.4770468676</v>
      </c>
      <c r="I38" s="29">
        <f t="shared" si="5"/>
        <v>-73948.363122625189</v>
      </c>
      <c r="J38" s="29">
        <f t="shared" si="5"/>
        <v>-1567048.7263695048</v>
      </c>
      <c r="K38" s="29">
        <f>-'Income statement'!L36</f>
        <v>-3415.2003332249587</v>
      </c>
      <c r="L38" s="29">
        <f t="shared" si="2"/>
        <v>14827463.751751877</v>
      </c>
      <c r="M38" s="27">
        <f>Input!O41</f>
        <v>0</v>
      </c>
      <c r="N38" s="29">
        <f t="shared" si="6"/>
        <v>0</v>
      </c>
      <c r="O38" s="29">
        <f t="shared" si="7"/>
        <v>14827463.751751877</v>
      </c>
      <c r="Q38" s="58">
        <f t="shared" si="8"/>
        <v>3</v>
      </c>
      <c r="R38" s="62">
        <f t="shared" si="9"/>
        <v>4902384.3246195521</v>
      </c>
      <c r="S38" s="62">
        <f t="shared" si="3"/>
        <v>671545.4770468676</v>
      </c>
      <c r="T38" s="62">
        <f t="shared" si="4"/>
        <v>-3415.2003332249587</v>
      </c>
      <c r="U38" s="62">
        <f t="shared" si="10"/>
        <v>14827463.751751877</v>
      </c>
      <c r="V38" s="64">
        <f t="shared" si="11"/>
        <v>0</v>
      </c>
      <c r="W38" s="62">
        <f t="shared" si="12"/>
        <v>14827463.751751877</v>
      </c>
    </row>
    <row r="39" spans="1:23" x14ac:dyDescent="0.25">
      <c r="A39" s="12">
        <v>4</v>
      </c>
      <c r="B39" s="29">
        <f t="shared" si="5"/>
        <v>6044330.8017109474</v>
      </c>
      <c r="C39" s="29">
        <f t="shared" si="5"/>
        <v>0</v>
      </c>
      <c r="D39" s="29">
        <f t="shared" si="5"/>
        <v>0</v>
      </c>
      <c r="E39" s="29">
        <f t="shared" si="5"/>
        <v>-24944.469672196941</v>
      </c>
      <c r="F39" s="29">
        <f t="shared" si="5"/>
        <v>-765.61523488338662</v>
      </c>
      <c r="G39" s="29">
        <f t="shared" si="5"/>
        <v>-135997.44303849631</v>
      </c>
      <c r="H39" s="29">
        <f>Input!C42*('Invested asset rollforwards'!L38+'Invested asset rollforwards'!B39+'Invested asset rollforwards'!C39+'Invested asset rollforwards'!D39+'Invested asset rollforwards'!E39+G39)</f>
        <v>880211.23723196576</v>
      </c>
      <c r="I39" s="29">
        <f t="shared" si="5"/>
        <v>-76561.523488338644</v>
      </c>
      <c r="J39" s="29">
        <f t="shared" si="5"/>
        <v>-1931980.8846710389</v>
      </c>
      <c r="K39" s="29">
        <f>-'Income statement'!L37</f>
        <v>-30588.794972586795</v>
      </c>
      <c r="L39" s="29">
        <f t="shared" si="2"/>
        <v>19551167.059617251</v>
      </c>
      <c r="M39" s="27">
        <f>Input!O42</f>
        <v>0</v>
      </c>
      <c r="N39" s="29">
        <f t="shared" si="6"/>
        <v>0</v>
      </c>
      <c r="O39" s="29">
        <f t="shared" si="7"/>
        <v>19551167.059617251</v>
      </c>
      <c r="Q39" s="58">
        <f t="shared" si="8"/>
        <v>4</v>
      </c>
      <c r="R39" s="62">
        <f t="shared" si="9"/>
        <v>3874080.8656059932</v>
      </c>
      <c r="S39" s="62">
        <f t="shared" si="3"/>
        <v>880211.23723196576</v>
      </c>
      <c r="T39" s="62">
        <f t="shared" si="4"/>
        <v>-30588.794972586795</v>
      </c>
      <c r="U39" s="62">
        <f t="shared" si="10"/>
        <v>19551167.059617251</v>
      </c>
      <c r="V39" s="64">
        <f t="shared" si="11"/>
        <v>0</v>
      </c>
      <c r="W39" s="62">
        <f t="shared" si="12"/>
        <v>19551167.059617251</v>
      </c>
    </row>
    <row r="40" spans="1:23" x14ac:dyDescent="0.25">
      <c r="A40" s="12">
        <v>5</v>
      </c>
      <c r="B40" s="29">
        <f t="shared" si="5"/>
        <v>5494070.6407832671</v>
      </c>
      <c r="C40" s="29">
        <f t="shared" si="5"/>
        <v>0</v>
      </c>
      <c r="D40" s="29">
        <f t="shared" si="5"/>
        <v>0</v>
      </c>
      <c r="E40" s="29">
        <f t="shared" si="5"/>
        <v>-23127.061809038503</v>
      </c>
      <c r="F40" s="29">
        <f t="shared" si="5"/>
        <v>-781.37893557806456</v>
      </c>
      <c r="G40" s="29">
        <f t="shared" si="5"/>
        <v>-123616.5894176235</v>
      </c>
      <c r="H40" s="29">
        <f>Input!C43*('Invested asset rollforwards'!L39+'Invested asset rollforwards'!B40+'Invested asset rollforwards'!C40+'Invested asset rollforwards'!D40+'Invested asset rollforwards'!E40+G40)</f>
        <v>1058185.9970898889</v>
      </c>
      <c r="I40" s="29">
        <f t="shared" si="5"/>
        <v>-78137.89355780647</v>
      </c>
      <c r="J40" s="29">
        <f t="shared" si="5"/>
        <v>-2097267.9458276597</v>
      </c>
      <c r="K40" s="29">
        <f>-'Income statement'!L38</f>
        <v>-55774.349942253204</v>
      </c>
      <c r="L40" s="29">
        <f t="shared" si="2"/>
        <v>23724718.478000447</v>
      </c>
      <c r="M40" s="27">
        <f>Input!O43</f>
        <v>-0.05</v>
      </c>
      <c r="N40" s="29">
        <f t="shared" si="6"/>
        <v>-1186235.9239000224</v>
      </c>
      <c r="O40" s="29">
        <f t="shared" si="7"/>
        <v>22538482.554100424</v>
      </c>
      <c r="Q40" s="58">
        <f t="shared" si="8"/>
        <v>5</v>
      </c>
      <c r="R40" s="62">
        <f t="shared" si="9"/>
        <v>3171139.7712355605</v>
      </c>
      <c r="S40" s="62">
        <f t="shared" si="3"/>
        <v>1058185.9970898889</v>
      </c>
      <c r="T40" s="62">
        <f t="shared" si="4"/>
        <v>-55774.349942253204</v>
      </c>
      <c r="U40" s="62">
        <f t="shared" si="10"/>
        <v>23724718.478000447</v>
      </c>
      <c r="V40" s="64">
        <f t="shared" si="11"/>
        <v>-0.05</v>
      </c>
      <c r="W40" s="62">
        <f t="shared" si="12"/>
        <v>22538482.554100424</v>
      </c>
    </row>
    <row r="41" spans="1:23" x14ac:dyDescent="0.25">
      <c r="A41" s="12">
        <v>6</v>
      </c>
      <c r="B41" s="29">
        <f t="shared" si="5"/>
        <v>5048075.1719340198</v>
      </c>
      <c r="C41" s="29">
        <f t="shared" si="5"/>
        <v>0</v>
      </c>
      <c r="D41" s="29">
        <f t="shared" si="5"/>
        <v>0</v>
      </c>
      <c r="E41" s="29">
        <f t="shared" si="5"/>
        <v>-21674.655685055681</v>
      </c>
      <c r="F41" s="29">
        <f t="shared" si="5"/>
        <v>-785.2561378564028</v>
      </c>
      <c r="G41" s="29">
        <f t="shared" si="5"/>
        <v>-113581.69136851544</v>
      </c>
      <c r="H41" s="29">
        <f>Input!C44*('Invested asset rollforwards'!L40+'Invested asset rollforwards'!B41+'Invested asset rollforwards'!C41+'Invested asset rollforwards'!D41+'Invested asset rollforwards'!E41+G41)</f>
        <v>1274370.4099781998</v>
      </c>
      <c r="I41" s="29">
        <f t="shared" si="5"/>
        <v>-78525.613785640278</v>
      </c>
      <c r="J41" s="29">
        <f t="shared" si="5"/>
        <v>-2117223.3040111908</v>
      </c>
      <c r="K41" s="29">
        <f>-'Income statement'!L39</f>
        <v>-136966.03860563505</v>
      </c>
      <c r="L41" s="29">
        <f t="shared" si="2"/>
        <v>27578407.500318773</v>
      </c>
      <c r="M41" s="27">
        <f>Input!O44</f>
        <v>-0.04</v>
      </c>
      <c r="N41" s="29">
        <f t="shared" si="6"/>
        <v>-1103136.300012751</v>
      </c>
      <c r="O41" s="29">
        <f t="shared" si="7"/>
        <v>26475271.200306021</v>
      </c>
      <c r="Q41" s="58">
        <f t="shared" si="8"/>
        <v>6</v>
      </c>
      <c r="R41" s="62">
        <f t="shared" si="9"/>
        <v>2716284.6509457608</v>
      </c>
      <c r="S41" s="62">
        <f t="shared" si="3"/>
        <v>1274370.4099781998</v>
      </c>
      <c r="T41" s="62">
        <f t="shared" si="4"/>
        <v>-136966.03860563505</v>
      </c>
      <c r="U41" s="62">
        <f t="shared" si="10"/>
        <v>27578407.500318773</v>
      </c>
      <c r="V41" s="64">
        <f t="shared" si="11"/>
        <v>-0.04</v>
      </c>
      <c r="W41" s="62">
        <f t="shared" si="12"/>
        <v>26475271.200306021</v>
      </c>
    </row>
    <row r="42" spans="1:23" x14ac:dyDescent="0.25">
      <c r="A42" s="12">
        <v>7</v>
      </c>
      <c r="B42" s="29">
        <f t="shared" si="5"/>
        <v>4688137.3160247803</v>
      </c>
      <c r="C42" s="29">
        <f t="shared" si="5"/>
        <v>0</v>
      </c>
      <c r="D42" s="29">
        <f t="shared" si="5"/>
        <v>0</v>
      </c>
      <c r="E42" s="29">
        <f t="shared" si="5"/>
        <v>-20531.79357310784</v>
      </c>
      <c r="F42" s="29">
        <f t="shared" si="5"/>
        <v>-823.02855103546108</v>
      </c>
      <c r="G42" s="29">
        <f t="shared" si="5"/>
        <v>-105483.08961055755</v>
      </c>
      <c r="H42" s="29">
        <f>Input!C45*('Invested asset rollforwards'!L41+'Invested asset rollforwards'!B42+'Invested asset rollforwards'!C42+'Invested asset rollforwards'!D42+'Invested asset rollforwards'!E42+G42)</f>
        <v>1494534.6418919347</v>
      </c>
      <c r="I42" s="29">
        <f t="shared" si="5"/>
        <v>-82302.855103546113</v>
      </c>
      <c r="J42" s="29">
        <f t="shared" si="5"/>
        <v>-2028316.3589283656</v>
      </c>
      <c r="K42" s="29">
        <f>-'Income statement'!L40</f>
        <v>-231485.8470302046</v>
      </c>
      <c r="L42" s="29">
        <f t="shared" si="2"/>
        <v>31292136.485438671</v>
      </c>
      <c r="M42" s="27">
        <f>Input!O45</f>
        <v>-0.03</v>
      </c>
      <c r="N42" s="29">
        <f t="shared" si="6"/>
        <v>-938764.09456316009</v>
      </c>
      <c r="O42" s="29">
        <f t="shared" si="7"/>
        <v>30353372.390875511</v>
      </c>
      <c r="Q42" s="58">
        <f t="shared" si="8"/>
        <v>7</v>
      </c>
      <c r="R42" s="62">
        <f t="shared" si="9"/>
        <v>2450680.1902581677</v>
      </c>
      <c r="S42" s="62">
        <f t="shared" si="3"/>
        <v>1494534.6418919347</v>
      </c>
      <c r="T42" s="62">
        <f t="shared" si="4"/>
        <v>-231485.8470302046</v>
      </c>
      <c r="U42" s="62">
        <f t="shared" si="10"/>
        <v>31292136.485438671</v>
      </c>
      <c r="V42" s="64">
        <f t="shared" si="11"/>
        <v>-0.03</v>
      </c>
      <c r="W42" s="62">
        <f t="shared" si="12"/>
        <v>30353372.390875511</v>
      </c>
    </row>
    <row r="43" spans="1:23" x14ac:dyDescent="0.25">
      <c r="A43" s="12">
        <v>8</v>
      </c>
      <c r="B43" s="29">
        <f t="shared" si="5"/>
        <v>4399886.2555215331</v>
      </c>
      <c r="C43" s="29">
        <f t="shared" si="5"/>
        <v>0</v>
      </c>
      <c r="D43" s="29">
        <f t="shared" si="5"/>
        <v>0</v>
      </c>
      <c r="E43" s="29">
        <f t="shared" si="5"/>
        <v>-19654.779981684722</v>
      </c>
      <c r="F43" s="29">
        <f t="shared" si="5"/>
        <v>-870.19972609203626</v>
      </c>
      <c r="G43" s="29">
        <f t="shared" si="5"/>
        <v>-98997.440749234491</v>
      </c>
      <c r="H43" s="29">
        <f>Input!C46*('Invested asset rollforwards'!L42+'Invested asset rollforwards'!B43+'Invested asset rollforwards'!C43+'Invested asset rollforwards'!D43+'Invested asset rollforwards'!E43+G43)</f>
        <v>1725308.4702311202</v>
      </c>
      <c r="I43" s="29">
        <f t="shared" si="5"/>
        <v>-87019.972609203614</v>
      </c>
      <c r="J43" s="29">
        <f t="shared" si="5"/>
        <v>-1854422.9933721637</v>
      </c>
      <c r="K43" s="29">
        <f>-'Income statement'!L41</f>
        <v>-339386.7630934011</v>
      </c>
      <c r="L43" s="29">
        <f t="shared" si="2"/>
        <v>35016979.061659545</v>
      </c>
      <c r="M43" s="27">
        <f>Input!O46</f>
        <v>-0.02</v>
      </c>
      <c r="N43" s="29">
        <f t="shared" si="6"/>
        <v>-700339.58123319095</v>
      </c>
      <c r="O43" s="29">
        <f t="shared" si="7"/>
        <v>34316639.480426356</v>
      </c>
      <c r="Q43" s="58">
        <f t="shared" si="8"/>
        <v>8</v>
      </c>
      <c r="R43" s="62">
        <f t="shared" si="9"/>
        <v>2338920.8690831545</v>
      </c>
      <c r="S43" s="62">
        <f t="shared" si="3"/>
        <v>1725308.4702311202</v>
      </c>
      <c r="T43" s="62">
        <f t="shared" si="4"/>
        <v>-339386.7630934011</v>
      </c>
      <c r="U43" s="62">
        <f t="shared" si="10"/>
        <v>35016979.061659545</v>
      </c>
      <c r="V43" s="64">
        <f t="shared" si="11"/>
        <v>-0.02</v>
      </c>
      <c r="W43" s="62">
        <f t="shared" si="12"/>
        <v>34316639.480426356</v>
      </c>
    </row>
    <row r="44" spans="1:23" x14ac:dyDescent="0.25">
      <c r="A44" s="12">
        <v>9</v>
      </c>
      <c r="B44" s="29">
        <f t="shared" si="5"/>
        <v>4172451.73508737</v>
      </c>
      <c r="C44" s="29">
        <f t="shared" si="5"/>
        <v>0</v>
      </c>
      <c r="D44" s="29">
        <f t="shared" si="5"/>
        <v>0</v>
      </c>
      <c r="E44" s="29">
        <f t="shared" si="5"/>
        <v>-19011.580844644486</v>
      </c>
      <c r="F44" s="29">
        <f t="shared" si="5"/>
        <v>-931.84755416951236</v>
      </c>
      <c r="G44" s="29">
        <f t="shared" si="5"/>
        <v>-93880.164039465817</v>
      </c>
      <c r="H44" s="29">
        <f>Input!C47*('Invested asset rollforwards'!L43+'Invested asset rollforwards'!B44+'Invested asset rollforwards'!C44+'Invested asset rollforwards'!D44+'Invested asset rollforwards'!E44+G44)</f>
        <v>1973365.2221190718</v>
      </c>
      <c r="I44" s="29">
        <f t="shared" si="5"/>
        <v>-93184.75541695123</v>
      </c>
      <c r="J44" s="29">
        <f t="shared" si="5"/>
        <v>-1610105.1747452726</v>
      </c>
      <c r="K44" s="29">
        <f>-'Income statement'!L42</f>
        <v>-461796.09601291717</v>
      </c>
      <c r="L44" s="29">
        <f t="shared" si="2"/>
        <v>38883886.400252566</v>
      </c>
      <c r="M44" s="27">
        <f>Input!O47</f>
        <v>-0.01</v>
      </c>
      <c r="N44" s="29">
        <f t="shared" si="6"/>
        <v>-388838.86400252569</v>
      </c>
      <c r="O44" s="29">
        <f t="shared" si="7"/>
        <v>38495047.53625004</v>
      </c>
      <c r="Q44" s="58">
        <f t="shared" si="8"/>
        <v>9</v>
      </c>
      <c r="R44" s="62">
        <f t="shared" si="9"/>
        <v>2355338.2124868669</v>
      </c>
      <c r="S44" s="62">
        <f t="shared" si="3"/>
        <v>1973365.2221190718</v>
      </c>
      <c r="T44" s="62">
        <f t="shared" si="4"/>
        <v>-461796.09601291717</v>
      </c>
      <c r="U44" s="62">
        <f t="shared" si="10"/>
        <v>38883886.400252566</v>
      </c>
      <c r="V44" s="64">
        <f t="shared" si="11"/>
        <v>-0.01</v>
      </c>
      <c r="W44" s="62">
        <f t="shared" si="12"/>
        <v>38495047.53625004</v>
      </c>
    </row>
    <row r="45" spans="1:23" x14ac:dyDescent="0.25">
      <c r="A45" s="12">
        <v>10</v>
      </c>
      <c r="B45" s="29">
        <f t="shared" si="5"/>
        <v>3997502.5028158505</v>
      </c>
      <c r="C45" s="29">
        <f t="shared" si="5"/>
        <v>0</v>
      </c>
      <c r="D45" s="29">
        <f t="shared" si="5"/>
        <v>0</v>
      </c>
      <c r="E45" s="29">
        <f t="shared" si="5"/>
        <v>-18578.721521750096</v>
      </c>
      <c r="F45" s="29">
        <f t="shared" si="5"/>
        <v>-994.93395625638902</v>
      </c>
      <c r="G45" s="29">
        <f t="shared" si="5"/>
        <v>-89943.806313356632</v>
      </c>
      <c r="H45" s="29">
        <f>Input!C48*('Invested asset rollforwards'!L44+'Invested asset rollforwards'!B45+'Invested asset rollforwards'!C45+'Invested asset rollforwards'!D45+'Invested asset rollforwards'!E45+G45)</f>
        <v>2245575.4846997485</v>
      </c>
      <c r="I45" s="29">
        <f t="shared" si="5"/>
        <v>-99493.395625638892</v>
      </c>
      <c r="J45" s="29">
        <f t="shared" si="5"/>
        <v>-44317201.08010602</v>
      </c>
      <c r="K45" s="29">
        <f>-'Income statement'!L43</f>
        <v>-600752.45024514513</v>
      </c>
      <c r="L45" s="29">
        <f t="shared" si="2"/>
        <v>0</v>
      </c>
      <c r="M45" s="27">
        <f>Input!O48</f>
        <v>0</v>
      </c>
      <c r="N45" s="29">
        <f t="shared" si="6"/>
        <v>0</v>
      </c>
      <c r="O45" s="29">
        <f t="shared" si="7"/>
        <v>0</v>
      </c>
      <c r="Q45" s="58">
        <f t="shared" si="8"/>
        <v>10</v>
      </c>
      <c r="R45" s="62">
        <f t="shared" si="9"/>
        <v>-40528709.434707172</v>
      </c>
      <c r="S45" s="62">
        <f t="shared" si="3"/>
        <v>2245575.4846997485</v>
      </c>
      <c r="T45" s="62">
        <f t="shared" si="4"/>
        <v>-600752.45024514513</v>
      </c>
      <c r="U45" s="62">
        <f t="shared" si="10"/>
        <v>0</v>
      </c>
      <c r="V45" s="65"/>
      <c r="W45" s="62">
        <f t="shared" si="12"/>
        <v>0</v>
      </c>
    </row>
  </sheetData>
  <mergeCells count="2">
    <mergeCell ref="Q12:X12"/>
    <mergeCell ref="Q32:W3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38"/>
  <sheetViews>
    <sheetView topLeftCell="A40" workbookViewId="0">
      <selection activeCell="A25" sqref="A25"/>
    </sheetView>
  </sheetViews>
  <sheetFormatPr defaultColWidth="8.7109375" defaultRowHeight="15" x14ac:dyDescent="0.25"/>
  <cols>
    <col min="1" max="1" width="14.28515625" style="12" bestFit="1" customWidth="1"/>
    <col min="2" max="2" width="13.7109375" style="12" bestFit="1" customWidth="1"/>
    <col min="3" max="3" width="11" style="12" bestFit="1" customWidth="1"/>
    <col min="4" max="4" width="12.5703125" style="12" customWidth="1"/>
    <col min="5" max="5" width="8.7109375" style="12"/>
    <col min="6" max="6" width="13.7109375" style="12" customWidth="1"/>
    <col min="7" max="7" width="8.7109375" style="12"/>
    <col min="8" max="8" width="11.28515625" style="12" customWidth="1"/>
    <col min="9" max="13" width="8.7109375" style="12"/>
    <col min="14" max="14" width="14.28515625" style="12" bestFit="1" customWidth="1"/>
    <col min="15" max="15" width="13.28515625" style="12" bestFit="1" customWidth="1"/>
    <col min="16" max="16" width="14.28515625" style="12" bestFit="1" customWidth="1"/>
    <col min="17" max="17" width="12.42578125" style="12" customWidth="1"/>
    <col min="18" max="18" width="14.28515625" style="12" bestFit="1" customWidth="1"/>
    <col min="19" max="20" width="9.28515625" style="12" bestFit="1" customWidth="1"/>
    <col min="21" max="16384" width="8.7109375" style="12"/>
  </cols>
  <sheetData>
    <row r="1" spans="1:20" x14ac:dyDescent="0.25">
      <c r="A1" s="13" t="s">
        <v>146</v>
      </c>
    </row>
    <row r="2" spans="1:20" x14ac:dyDescent="0.25">
      <c r="A2" s="11" t="s">
        <v>147</v>
      </c>
    </row>
    <row r="3" spans="1:20" x14ac:dyDescent="0.25">
      <c r="A3" s="15" t="s">
        <v>148</v>
      </c>
    </row>
    <row r="4" spans="1:20" x14ac:dyDescent="0.25">
      <c r="A4" s="16" t="s">
        <v>149</v>
      </c>
    </row>
    <row r="6" spans="1:20" x14ac:dyDescent="0.25">
      <c r="A6" s="1" t="s">
        <v>52</v>
      </c>
      <c r="R6" s="21"/>
    </row>
    <row r="7" spans="1:20" x14ac:dyDescent="0.25">
      <c r="R7" s="21"/>
    </row>
    <row r="8" spans="1:20" s="1" customFormat="1" x14ac:dyDescent="0.25">
      <c r="A8" s="1" t="s">
        <v>83</v>
      </c>
      <c r="M8" s="94" t="s">
        <v>144</v>
      </c>
      <c r="N8" s="94"/>
      <c r="O8" s="94"/>
      <c r="P8" s="94"/>
      <c r="Q8" s="94"/>
      <c r="R8" s="10"/>
    </row>
    <row r="9" spans="1:20" x14ac:dyDescent="0.25">
      <c r="B9" s="20"/>
      <c r="C9" s="20"/>
      <c r="F9" s="20"/>
      <c r="G9" s="20"/>
      <c r="H9" s="20"/>
      <c r="M9" s="66"/>
      <c r="N9" s="50" t="s">
        <v>51</v>
      </c>
      <c r="O9" s="66"/>
      <c r="P9" s="66"/>
      <c r="Q9" s="50" t="s">
        <v>98</v>
      </c>
      <c r="R9" s="50"/>
    </row>
    <row r="10" spans="1:20" x14ac:dyDescent="0.25">
      <c r="A10" s="20" t="s">
        <v>0</v>
      </c>
      <c r="B10" s="20" t="s">
        <v>51</v>
      </c>
      <c r="C10" s="20"/>
      <c r="D10" s="20" t="s">
        <v>18</v>
      </c>
      <c r="F10" s="20" t="s">
        <v>18</v>
      </c>
      <c r="G10" s="20"/>
      <c r="H10" s="20" t="s">
        <v>12</v>
      </c>
      <c r="M10" s="57" t="s">
        <v>0</v>
      </c>
      <c r="N10" s="57" t="s">
        <v>14</v>
      </c>
      <c r="O10" s="57"/>
      <c r="P10" s="57" t="s">
        <v>18</v>
      </c>
      <c r="Q10" s="57" t="s">
        <v>131</v>
      </c>
      <c r="R10" s="57" t="s">
        <v>133</v>
      </c>
      <c r="T10" s="21"/>
    </row>
    <row r="11" spans="1:20" x14ac:dyDescent="0.25">
      <c r="A11" s="2" t="s">
        <v>1</v>
      </c>
      <c r="B11" s="2" t="s">
        <v>14</v>
      </c>
      <c r="C11" s="2" t="s">
        <v>13</v>
      </c>
      <c r="D11" s="2" t="s">
        <v>14</v>
      </c>
      <c r="F11" s="2" t="s">
        <v>53</v>
      </c>
      <c r="G11" s="20"/>
      <c r="H11" s="2" t="s">
        <v>15</v>
      </c>
      <c r="M11" s="54" t="s">
        <v>1</v>
      </c>
      <c r="N11" s="54" t="s">
        <v>130</v>
      </c>
      <c r="O11" s="54" t="s">
        <v>13</v>
      </c>
      <c r="P11" s="54" t="s">
        <v>14</v>
      </c>
      <c r="Q11" s="54" t="s">
        <v>132</v>
      </c>
      <c r="R11" s="54" t="s">
        <v>134</v>
      </c>
      <c r="T11" s="21"/>
    </row>
    <row r="12" spans="1:20" x14ac:dyDescent="0.25">
      <c r="C12" s="22"/>
      <c r="M12" s="59"/>
      <c r="N12" s="59"/>
      <c r="O12" s="59"/>
      <c r="P12" s="59"/>
      <c r="Q12" s="59"/>
      <c r="R12" s="67"/>
    </row>
    <row r="13" spans="1:20" x14ac:dyDescent="0.25">
      <c r="A13" s="12">
        <v>1</v>
      </c>
      <c r="B13" s="29">
        <f>'Invested asset rollforwards'!L16</f>
        <v>2453198.4563925094</v>
      </c>
      <c r="C13" s="29">
        <f>'Actuarial balances'!D92</f>
        <v>5393221.9610559633</v>
      </c>
      <c r="D13" s="29">
        <f>B13+C13</f>
        <v>7846420.4174484722</v>
      </c>
      <c r="F13" s="29">
        <f>'Actuarial balances'!F55</f>
        <v>7846420.4174484732</v>
      </c>
      <c r="H13" s="29">
        <f t="shared" ref="H13:H22" si="0">D13-F13</f>
        <v>0</v>
      </c>
      <c r="M13" s="59">
        <f>A13</f>
        <v>1</v>
      </c>
      <c r="N13" s="68">
        <f t="shared" ref="N13:P22" si="1">B13</f>
        <v>2453198.4563925094</v>
      </c>
      <c r="O13" s="68">
        <f t="shared" si="1"/>
        <v>5393221.9610559633</v>
      </c>
      <c r="P13" s="68">
        <f t="shared" si="1"/>
        <v>7846420.4174484722</v>
      </c>
      <c r="Q13" s="68">
        <f t="shared" ref="Q13:Q22" si="2">F13</f>
        <v>7846420.4174484732</v>
      </c>
      <c r="R13" s="69">
        <f t="shared" ref="R13:R22" si="3">G13</f>
        <v>0</v>
      </c>
      <c r="T13" s="18"/>
    </row>
    <row r="14" spans="1:20" x14ac:dyDescent="0.25">
      <c r="A14" s="12">
        <v>2</v>
      </c>
      <c r="B14" s="29">
        <f>'Invested asset rollforwards'!L17</f>
        <v>9256949.150418682</v>
      </c>
      <c r="C14" s="29">
        <f>'Actuarial balances'!D93</f>
        <v>4537999.7575933868</v>
      </c>
      <c r="D14" s="29">
        <f t="shared" ref="D14:D22" si="4">B14+C14</f>
        <v>13794948.90801207</v>
      </c>
      <c r="F14" s="29">
        <f>'Actuarial balances'!F56</f>
        <v>13794948.90801207</v>
      </c>
      <c r="H14" s="29">
        <f t="shared" si="0"/>
        <v>0</v>
      </c>
      <c r="M14" s="59">
        <f t="shared" ref="M14:M22" si="5">A14</f>
        <v>2</v>
      </c>
      <c r="N14" s="68">
        <f t="shared" si="1"/>
        <v>9256949.150418682</v>
      </c>
      <c r="O14" s="68">
        <f t="shared" si="1"/>
        <v>4537999.7575933868</v>
      </c>
      <c r="P14" s="68">
        <f t="shared" si="1"/>
        <v>13794948.90801207</v>
      </c>
      <c r="Q14" s="68">
        <f t="shared" si="2"/>
        <v>13794948.90801207</v>
      </c>
      <c r="R14" s="69">
        <f t="shared" si="3"/>
        <v>0</v>
      </c>
      <c r="T14" s="18"/>
    </row>
    <row r="15" spans="1:20" x14ac:dyDescent="0.25">
      <c r="A15" s="12">
        <v>3</v>
      </c>
      <c r="B15" s="29">
        <f>'Invested asset rollforwards'!L18</f>
        <v>14827463.751751877</v>
      </c>
      <c r="C15" s="29">
        <f>'Actuarial balances'!D94</f>
        <v>3785983.7171113859</v>
      </c>
      <c r="D15" s="29">
        <f t="shared" si="4"/>
        <v>18613447.468863264</v>
      </c>
      <c r="F15" s="29">
        <f>'Actuarial balances'!F57</f>
        <v>18613447.468863264</v>
      </c>
      <c r="H15" s="29">
        <f t="shared" si="0"/>
        <v>0</v>
      </c>
      <c r="M15" s="59">
        <f t="shared" si="5"/>
        <v>3</v>
      </c>
      <c r="N15" s="68">
        <f t="shared" si="1"/>
        <v>14827463.751751877</v>
      </c>
      <c r="O15" s="68">
        <f t="shared" si="1"/>
        <v>3785983.7171113859</v>
      </c>
      <c r="P15" s="68">
        <f t="shared" si="1"/>
        <v>18613447.468863264</v>
      </c>
      <c r="Q15" s="68">
        <f t="shared" si="2"/>
        <v>18613447.468863264</v>
      </c>
      <c r="R15" s="69">
        <f t="shared" si="3"/>
        <v>0</v>
      </c>
      <c r="T15" s="18"/>
    </row>
    <row r="16" spans="1:20" x14ac:dyDescent="0.25">
      <c r="A16" s="12">
        <v>4</v>
      </c>
      <c r="B16" s="29">
        <f>'Invested asset rollforwards'!L19</f>
        <v>19551167.059617251</v>
      </c>
      <c r="C16" s="29">
        <f>'Actuarial balances'!D95</f>
        <v>3109839.3269696543</v>
      </c>
      <c r="D16" s="29">
        <f t="shared" si="4"/>
        <v>22661006.386586905</v>
      </c>
      <c r="F16" s="29">
        <f>'Actuarial balances'!F58</f>
        <v>22661006.386586905</v>
      </c>
      <c r="H16" s="29">
        <f t="shared" si="0"/>
        <v>0</v>
      </c>
      <c r="M16" s="59">
        <f t="shared" si="5"/>
        <v>4</v>
      </c>
      <c r="N16" s="68">
        <f t="shared" si="1"/>
        <v>19551167.059617251</v>
      </c>
      <c r="O16" s="68">
        <f t="shared" si="1"/>
        <v>3109839.3269696543</v>
      </c>
      <c r="P16" s="68">
        <f t="shared" si="1"/>
        <v>22661006.386586905</v>
      </c>
      <c r="Q16" s="68">
        <f t="shared" si="2"/>
        <v>22661006.386586905</v>
      </c>
      <c r="R16" s="69">
        <f t="shared" si="3"/>
        <v>0</v>
      </c>
      <c r="T16" s="18"/>
    </row>
    <row r="17" spans="1:20" x14ac:dyDescent="0.25">
      <c r="A17" s="12">
        <v>5</v>
      </c>
      <c r="B17" s="29">
        <f>'Invested asset rollforwards'!L20</f>
        <v>23724718.478000447</v>
      </c>
      <c r="C17" s="29">
        <f>'Actuarial balances'!D96</f>
        <v>2495249.364131012</v>
      </c>
      <c r="D17" s="29">
        <f t="shared" si="4"/>
        <v>26219967.842131458</v>
      </c>
      <c r="F17" s="29">
        <f>'Actuarial balances'!F59</f>
        <v>26219967.842131458</v>
      </c>
      <c r="H17" s="29">
        <f t="shared" si="0"/>
        <v>0</v>
      </c>
      <c r="M17" s="59">
        <f t="shared" si="5"/>
        <v>5</v>
      </c>
      <c r="N17" s="68">
        <f t="shared" si="1"/>
        <v>23724718.478000447</v>
      </c>
      <c r="O17" s="68">
        <f t="shared" si="1"/>
        <v>2495249.364131012</v>
      </c>
      <c r="P17" s="68">
        <f t="shared" si="1"/>
        <v>26219967.842131458</v>
      </c>
      <c r="Q17" s="68">
        <f t="shared" si="2"/>
        <v>26219967.842131458</v>
      </c>
      <c r="R17" s="69">
        <f t="shared" si="3"/>
        <v>0</v>
      </c>
      <c r="T17" s="18"/>
    </row>
    <row r="18" spans="1:20" x14ac:dyDescent="0.25">
      <c r="A18" s="12">
        <v>6</v>
      </c>
      <c r="B18" s="29">
        <f>'Invested asset rollforwards'!L21</f>
        <v>27578407.500318773</v>
      </c>
      <c r="C18" s="29">
        <f>'Actuarial balances'!D97</f>
        <v>1930550.3394596996</v>
      </c>
      <c r="D18" s="29">
        <f t="shared" si="4"/>
        <v>29508957.839778472</v>
      </c>
      <c r="F18" s="29">
        <f>'Actuarial balances'!F60</f>
        <v>29508957.839778472</v>
      </c>
      <c r="H18" s="29">
        <f t="shared" si="0"/>
        <v>0</v>
      </c>
      <c r="M18" s="59">
        <f t="shared" si="5"/>
        <v>6</v>
      </c>
      <c r="N18" s="68">
        <f t="shared" si="1"/>
        <v>27578407.500318773</v>
      </c>
      <c r="O18" s="68">
        <f t="shared" si="1"/>
        <v>1930550.3394596996</v>
      </c>
      <c r="P18" s="68">
        <f t="shared" si="1"/>
        <v>29508957.839778472</v>
      </c>
      <c r="Q18" s="68">
        <f t="shared" si="2"/>
        <v>29508957.839778472</v>
      </c>
      <c r="R18" s="69">
        <f t="shared" si="3"/>
        <v>0</v>
      </c>
      <c r="T18" s="18"/>
    </row>
    <row r="19" spans="1:20" x14ac:dyDescent="0.25">
      <c r="A19" s="12">
        <v>7</v>
      </c>
      <c r="B19" s="29">
        <f>'Invested asset rollforwards'!L22</f>
        <v>31292136.485438671</v>
      </c>
      <c r="C19" s="29">
        <f>'Actuarial balances'!D98</f>
        <v>1406115.4846455012</v>
      </c>
      <c r="D19" s="29">
        <f t="shared" si="4"/>
        <v>32698251.970084172</v>
      </c>
      <c r="F19" s="29">
        <f>'Actuarial balances'!F61</f>
        <v>32698251.970084172</v>
      </c>
      <c r="H19" s="29">
        <f t="shared" si="0"/>
        <v>0</v>
      </c>
      <c r="M19" s="59">
        <f t="shared" si="5"/>
        <v>7</v>
      </c>
      <c r="N19" s="68">
        <f t="shared" si="1"/>
        <v>31292136.485438671</v>
      </c>
      <c r="O19" s="68">
        <f t="shared" si="1"/>
        <v>1406115.4846455012</v>
      </c>
      <c r="P19" s="68">
        <f t="shared" si="1"/>
        <v>32698251.970084172</v>
      </c>
      <c r="Q19" s="68">
        <f t="shared" si="2"/>
        <v>32698251.970084172</v>
      </c>
      <c r="R19" s="69">
        <f t="shared" si="3"/>
        <v>0</v>
      </c>
      <c r="T19" s="18"/>
    </row>
    <row r="20" spans="1:20" x14ac:dyDescent="0.25">
      <c r="A20" s="12">
        <v>8</v>
      </c>
      <c r="B20" s="29">
        <f>'Invested asset rollforwards'!L23</f>
        <v>35016979.061659545</v>
      </c>
      <c r="C20" s="29">
        <f>'Actuarial balances'!D99</f>
        <v>913925.61176652473</v>
      </c>
      <c r="D20" s="29">
        <f t="shared" si="4"/>
        <v>35930904.673426069</v>
      </c>
      <c r="F20" s="29">
        <f>'Actuarial balances'!F62</f>
        <v>35930904.673426069</v>
      </c>
      <c r="H20" s="29">
        <f t="shared" si="0"/>
        <v>0</v>
      </c>
      <c r="M20" s="59">
        <f t="shared" si="5"/>
        <v>8</v>
      </c>
      <c r="N20" s="68">
        <f t="shared" si="1"/>
        <v>35016979.061659545</v>
      </c>
      <c r="O20" s="68">
        <f t="shared" si="1"/>
        <v>913925.61176652473</v>
      </c>
      <c r="P20" s="68">
        <f t="shared" si="1"/>
        <v>35930904.673426069</v>
      </c>
      <c r="Q20" s="68">
        <f t="shared" si="2"/>
        <v>35930904.673426069</v>
      </c>
      <c r="R20" s="69">
        <f t="shared" si="3"/>
        <v>0</v>
      </c>
      <c r="T20" s="18"/>
    </row>
    <row r="21" spans="1:20" x14ac:dyDescent="0.25">
      <c r="A21" s="12">
        <v>9</v>
      </c>
      <c r="B21" s="29">
        <f>'Invested asset rollforwards'!L24</f>
        <v>38883886.400252566</v>
      </c>
      <c r="C21" s="29">
        <f>'Actuarial balances'!D100</f>
        <v>447177.52560653543</v>
      </c>
      <c r="D21" s="29">
        <f t="shared" si="4"/>
        <v>39331063.925859101</v>
      </c>
      <c r="F21" s="29">
        <f>'Actuarial balances'!F63</f>
        <v>39331063.925859101</v>
      </c>
      <c r="H21" s="29">
        <f t="shared" si="0"/>
        <v>0</v>
      </c>
      <c r="M21" s="59">
        <f t="shared" si="5"/>
        <v>9</v>
      </c>
      <c r="N21" s="68">
        <f t="shared" si="1"/>
        <v>38883886.400252566</v>
      </c>
      <c r="O21" s="68">
        <f t="shared" si="1"/>
        <v>447177.52560653543</v>
      </c>
      <c r="P21" s="68">
        <f t="shared" si="1"/>
        <v>39331063.925859101</v>
      </c>
      <c r="Q21" s="68">
        <f t="shared" si="2"/>
        <v>39331063.925859101</v>
      </c>
      <c r="R21" s="69">
        <f t="shared" si="3"/>
        <v>0</v>
      </c>
      <c r="T21" s="18"/>
    </row>
    <row r="22" spans="1:20" x14ac:dyDescent="0.25">
      <c r="A22" s="12">
        <v>10</v>
      </c>
      <c r="B22" s="29">
        <f>'Invested asset rollforwards'!L25</f>
        <v>0</v>
      </c>
      <c r="C22" s="29">
        <f>'Actuarial balances'!D101</f>
        <v>0</v>
      </c>
      <c r="D22" s="29">
        <f t="shared" si="4"/>
        <v>0</v>
      </c>
      <c r="F22" s="29">
        <f>'Actuarial balances'!F64</f>
        <v>0</v>
      </c>
      <c r="H22" s="29">
        <f t="shared" si="0"/>
        <v>0</v>
      </c>
      <c r="M22" s="59">
        <f t="shared" si="5"/>
        <v>10</v>
      </c>
      <c r="N22" s="68">
        <f t="shared" si="1"/>
        <v>0</v>
      </c>
      <c r="O22" s="68">
        <f t="shared" si="1"/>
        <v>0</v>
      </c>
      <c r="P22" s="68">
        <f t="shared" si="1"/>
        <v>0</v>
      </c>
      <c r="Q22" s="68">
        <f t="shared" si="2"/>
        <v>0</v>
      </c>
      <c r="R22" s="69">
        <f t="shared" si="3"/>
        <v>0</v>
      </c>
      <c r="T22" s="18"/>
    </row>
    <row r="23" spans="1:20" x14ac:dyDescent="0.25">
      <c r="B23" s="29"/>
      <c r="C23" s="29"/>
      <c r="D23" s="29"/>
      <c r="F23" s="29"/>
      <c r="H23" s="29"/>
    </row>
    <row r="24" spans="1:20" x14ac:dyDescent="0.25">
      <c r="A24" s="4" t="s">
        <v>174</v>
      </c>
      <c r="B24" s="29"/>
      <c r="C24" s="29"/>
      <c r="D24" s="29"/>
      <c r="F24" s="29"/>
      <c r="H24" s="29"/>
    </row>
    <row r="25" spans="1:20" x14ac:dyDescent="0.25">
      <c r="B25" s="29"/>
      <c r="C25" s="29"/>
      <c r="D25" s="29"/>
      <c r="F25" s="29"/>
      <c r="H25" s="29"/>
      <c r="M25" s="94" t="s">
        <v>145</v>
      </c>
      <c r="N25" s="94"/>
      <c r="O25" s="94"/>
      <c r="P25" s="94"/>
      <c r="Q25" s="94"/>
      <c r="R25" s="10"/>
    </row>
    <row r="26" spans="1:20" x14ac:dyDescent="0.25">
      <c r="A26" s="20" t="s">
        <v>0</v>
      </c>
      <c r="B26" s="20" t="s">
        <v>51</v>
      </c>
      <c r="C26" s="20"/>
      <c r="D26" s="20" t="s">
        <v>18</v>
      </c>
      <c r="F26" s="20" t="s">
        <v>18</v>
      </c>
      <c r="G26" s="20"/>
      <c r="H26" s="20" t="s">
        <v>12</v>
      </c>
      <c r="M26" s="66"/>
      <c r="N26" s="50" t="s">
        <v>51</v>
      </c>
      <c r="O26" s="66"/>
      <c r="P26" s="66"/>
      <c r="Q26" s="50" t="s">
        <v>98</v>
      </c>
      <c r="R26" s="50"/>
    </row>
    <row r="27" spans="1:20" x14ac:dyDescent="0.25">
      <c r="A27" s="2" t="s">
        <v>1</v>
      </c>
      <c r="B27" s="2" t="s">
        <v>14</v>
      </c>
      <c r="C27" s="2" t="s">
        <v>13</v>
      </c>
      <c r="D27" s="2" t="s">
        <v>14</v>
      </c>
      <c r="F27" s="2" t="s">
        <v>53</v>
      </c>
      <c r="G27" s="20"/>
      <c r="H27" s="2" t="s">
        <v>15</v>
      </c>
      <c r="M27" s="57" t="s">
        <v>0</v>
      </c>
      <c r="N27" s="57" t="s">
        <v>14</v>
      </c>
      <c r="O27" s="57" t="s">
        <v>13</v>
      </c>
      <c r="P27" s="57" t="s">
        <v>18</v>
      </c>
      <c r="Q27" s="57" t="s">
        <v>136</v>
      </c>
      <c r="R27" s="57" t="s">
        <v>15</v>
      </c>
    </row>
    <row r="28" spans="1:20" x14ac:dyDescent="0.25">
      <c r="C28" s="22"/>
      <c r="M28" s="54" t="s">
        <v>1</v>
      </c>
      <c r="N28" s="54" t="s">
        <v>135</v>
      </c>
      <c r="O28" s="54"/>
      <c r="P28" s="54" t="s">
        <v>14</v>
      </c>
      <c r="Q28" s="54" t="s">
        <v>132</v>
      </c>
      <c r="R28" s="54"/>
    </row>
    <row r="29" spans="1:20" x14ac:dyDescent="0.25">
      <c r="A29" s="12">
        <v>1</v>
      </c>
      <c r="B29" s="29">
        <f>'Invested asset rollforwards'!O36</f>
        <v>2453198.4563925094</v>
      </c>
      <c r="C29" s="29">
        <f>'Actuarial balances'!D92</f>
        <v>5393221.9610559633</v>
      </c>
      <c r="D29" s="29">
        <f>B29+C29</f>
        <v>7846420.4174484722</v>
      </c>
      <c r="F29" s="29">
        <f>'Actuarial balances'!F55</f>
        <v>7846420.4174484732</v>
      </c>
      <c r="H29" s="29">
        <f t="shared" ref="H29:H38" si="6">D29-F29</f>
        <v>0</v>
      </c>
      <c r="M29" s="70">
        <f>A29</f>
        <v>1</v>
      </c>
      <c r="N29" s="71">
        <f t="shared" ref="N29:P38" si="7">B29</f>
        <v>2453198.4563925094</v>
      </c>
      <c r="O29" s="71">
        <f t="shared" si="7"/>
        <v>5393221.9610559633</v>
      </c>
      <c r="P29" s="71">
        <f t="shared" si="7"/>
        <v>7846420.4174484722</v>
      </c>
      <c r="Q29" s="71">
        <f>'Actuarial balances'!L55</f>
        <v>7846420.4174484871</v>
      </c>
      <c r="R29" s="72">
        <f>P29-Q29</f>
        <v>-1.4901161193847656E-8</v>
      </c>
    </row>
    <row r="30" spans="1:20" x14ac:dyDescent="0.25">
      <c r="A30" s="12">
        <v>2</v>
      </c>
      <c r="B30" s="29">
        <f>'Invested asset rollforwards'!O37</f>
        <v>9256949.150418682</v>
      </c>
      <c r="C30" s="29">
        <f>'Actuarial balances'!D93</f>
        <v>4537999.7575933868</v>
      </c>
      <c r="D30" s="29">
        <f t="shared" ref="D30:D38" si="8">B30+C30</f>
        <v>13794948.90801207</v>
      </c>
      <c r="F30" s="29">
        <f>'Actuarial balances'!F56</f>
        <v>13794948.90801207</v>
      </c>
      <c r="H30" s="29">
        <f t="shared" si="6"/>
        <v>0</v>
      </c>
      <c r="M30" s="73">
        <f t="shared" ref="M30:M38" si="9">A30</f>
        <v>2</v>
      </c>
      <c r="N30" s="74">
        <f t="shared" si="7"/>
        <v>9256949.150418682</v>
      </c>
      <c r="O30" s="74">
        <f t="shared" si="7"/>
        <v>4537999.7575933868</v>
      </c>
      <c r="P30" s="74">
        <f t="shared" si="7"/>
        <v>13794948.90801207</v>
      </c>
      <c r="Q30" s="74">
        <f>'Actuarial balances'!L56</f>
        <v>13794948.908012073</v>
      </c>
      <c r="R30" s="75">
        <f t="shared" ref="R30:R37" si="10">P30-Q30</f>
        <v>0</v>
      </c>
    </row>
    <row r="31" spans="1:20" x14ac:dyDescent="0.25">
      <c r="A31" s="12">
        <v>3</v>
      </c>
      <c r="B31" s="29">
        <f>'Invested asset rollforwards'!O38</f>
        <v>14827463.751751877</v>
      </c>
      <c r="C31" s="29">
        <f>'Actuarial balances'!D94</f>
        <v>3785983.7171113859</v>
      </c>
      <c r="D31" s="29">
        <f t="shared" si="8"/>
        <v>18613447.468863264</v>
      </c>
      <c r="F31" s="29">
        <f>'Actuarial balances'!F57</f>
        <v>18613447.468863264</v>
      </c>
      <c r="H31" s="29">
        <f t="shared" si="6"/>
        <v>0</v>
      </c>
      <c r="M31" s="73">
        <f t="shared" si="9"/>
        <v>3</v>
      </c>
      <c r="N31" s="74">
        <f t="shared" si="7"/>
        <v>14827463.751751877</v>
      </c>
      <c r="O31" s="74">
        <f t="shared" si="7"/>
        <v>3785983.7171113859</v>
      </c>
      <c r="P31" s="74">
        <f t="shared" si="7"/>
        <v>18613447.468863264</v>
      </c>
      <c r="Q31" s="74">
        <f>'Actuarial balances'!L57</f>
        <v>18613447.468863271</v>
      </c>
      <c r="R31" s="75">
        <f t="shared" si="10"/>
        <v>0</v>
      </c>
    </row>
    <row r="32" spans="1:20" x14ac:dyDescent="0.25">
      <c r="A32" s="12">
        <v>4</v>
      </c>
      <c r="B32" s="29">
        <f>'Invested asset rollforwards'!O39</f>
        <v>19551167.059617251</v>
      </c>
      <c r="C32" s="29">
        <f>'Actuarial balances'!D95</f>
        <v>3109839.3269696543</v>
      </c>
      <c r="D32" s="29">
        <f t="shared" si="8"/>
        <v>22661006.386586905</v>
      </c>
      <c r="F32" s="29">
        <f>'Actuarial balances'!F58</f>
        <v>22661006.386586905</v>
      </c>
      <c r="H32" s="29">
        <f t="shared" si="6"/>
        <v>0</v>
      </c>
      <c r="M32" s="73">
        <f t="shared" si="9"/>
        <v>4</v>
      </c>
      <c r="N32" s="74">
        <f t="shared" si="7"/>
        <v>19551167.059617251</v>
      </c>
      <c r="O32" s="74">
        <f t="shared" si="7"/>
        <v>3109839.3269696543</v>
      </c>
      <c r="P32" s="74">
        <f t="shared" si="7"/>
        <v>22661006.386586905</v>
      </c>
      <c r="Q32" s="74">
        <f>'Actuarial balances'!L58</f>
        <v>22661006.386586912</v>
      </c>
      <c r="R32" s="75">
        <f t="shared" si="10"/>
        <v>0</v>
      </c>
    </row>
    <row r="33" spans="1:18" x14ac:dyDescent="0.25">
      <c r="A33" s="12">
        <v>5</v>
      </c>
      <c r="B33" s="29">
        <f>'Invested asset rollforwards'!O40</f>
        <v>22538482.554100424</v>
      </c>
      <c r="C33" s="29">
        <f>'Actuarial balances'!D96</f>
        <v>2495249.364131012</v>
      </c>
      <c r="D33" s="29">
        <f t="shared" si="8"/>
        <v>25033731.918231435</v>
      </c>
      <c r="F33" s="29">
        <f>'Actuarial balances'!B153</f>
        <v>24652201.611148525</v>
      </c>
      <c r="H33" s="29">
        <f t="shared" si="6"/>
        <v>381530.30708291009</v>
      </c>
      <c r="M33" s="73">
        <f t="shared" si="9"/>
        <v>5</v>
      </c>
      <c r="N33" s="74">
        <f t="shared" si="7"/>
        <v>22538482.554100424</v>
      </c>
      <c r="O33" s="74">
        <f t="shared" si="7"/>
        <v>2495249.364131012</v>
      </c>
      <c r="P33" s="74">
        <f t="shared" si="7"/>
        <v>25033731.918231435</v>
      </c>
      <c r="Q33" s="74">
        <f>'Actuarial balances'!R59</f>
        <v>24652201.611148525</v>
      </c>
      <c r="R33" s="76">
        <f t="shared" si="10"/>
        <v>381530.30708291009</v>
      </c>
    </row>
    <row r="34" spans="1:18" x14ac:dyDescent="0.25">
      <c r="A34" s="12">
        <v>6</v>
      </c>
      <c r="B34" s="29">
        <f>'Invested asset rollforwards'!O41</f>
        <v>26475271.200306021</v>
      </c>
      <c r="C34" s="29">
        <f>'Actuarial balances'!D97</f>
        <v>1930550.3394596996</v>
      </c>
      <c r="D34" s="29">
        <f t="shared" si="8"/>
        <v>28405821.539765719</v>
      </c>
      <c r="F34" s="29">
        <f>'Actuarial balances'!B154</f>
        <v>28167663.797378253</v>
      </c>
      <c r="H34" s="29">
        <f t="shared" si="6"/>
        <v>238157.74238746613</v>
      </c>
      <c r="M34" s="73">
        <f t="shared" si="9"/>
        <v>6</v>
      </c>
      <c r="N34" s="74">
        <f t="shared" si="7"/>
        <v>26475271.200306021</v>
      </c>
      <c r="O34" s="74">
        <f t="shared" si="7"/>
        <v>1930550.3394596996</v>
      </c>
      <c r="P34" s="74">
        <f t="shared" si="7"/>
        <v>28405821.539765719</v>
      </c>
      <c r="Q34" s="74">
        <f>'Actuarial balances'!R60</f>
        <v>28167663.797378253</v>
      </c>
      <c r="R34" s="76">
        <f t="shared" si="10"/>
        <v>238157.74238746613</v>
      </c>
    </row>
    <row r="35" spans="1:18" x14ac:dyDescent="0.25">
      <c r="A35" s="12">
        <v>7</v>
      </c>
      <c r="B35" s="29">
        <f>'Invested asset rollforwards'!O42</f>
        <v>30353372.390875511</v>
      </c>
      <c r="C35" s="29">
        <f>'Actuarial balances'!D98</f>
        <v>1406115.4846455012</v>
      </c>
      <c r="D35" s="29">
        <f t="shared" si="8"/>
        <v>31759487.875521012</v>
      </c>
      <c r="F35" s="29">
        <f>'Actuarial balances'!B155</f>
        <v>31624601.82376267</v>
      </c>
      <c r="H35" s="29">
        <f t="shared" si="6"/>
        <v>134886.05175834149</v>
      </c>
      <c r="M35" s="73">
        <f t="shared" si="9"/>
        <v>7</v>
      </c>
      <c r="N35" s="74">
        <f t="shared" si="7"/>
        <v>30353372.390875511</v>
      </c>
      <c r="O35" s="74">
        <f t="shared" si="7"/>
        <v>1406115.4846455012</v>
      </c>
      <c r="P35" s="74">
        <f t="shared" si="7"/>
        <v>31759487.875521012</v>
      </c>
      <c r="Q35" s="74">
        <f>'Actuarial balances'!R61</f>
        <v>31624601.82376267</v>
      </c>
      <c r="R35" s="76">
        <f t="shared" si="10"/>
        <v>134886.05175834149</v>
      </c>
    </row>
    <row r="36" spans="1:18" x14ac:dyDescent="0.25">
      <c r="A36" s="12">
        <v>8</v>
      </c>
      <c r="B36" s="29">
        <f>'Invested asset rollforwards'!O43</f>
        <v>34316639.480426356</v>
      </c>
      <c r="C36" s="29">
        <f>'Actuarial balances'!D99</f>
        <v>913925.61176652473</v>
      </c>
      <c r="D36" s="29">
        <f t="shared" si="8"/>
        <v>35230565.092192881</v>
      </c>
      <c r="F36" s="29">
        <f>'Actuarial balances'!B156</f>
        <v>35167737.575934008</v>
      </c>
      <c r="H36" s="29">
        <f t="shared" si="6"/>
        <v>62827.516258873045</v>
      </c>
      <c r="M36" s="73">
        <f t="shared" si="9"/>
        <v>8</v>
      </c>
      <c r="N36" s="74">
        <f t="shared" si="7"/>
        <v>34316639.480426356</v>
      </c>
      <c r="O36" s="74">
        <f t="shared" si="7"/>
        <v>913925.61176652473</v>
      </c>
      <c r="P36" s="74">
        <f t="shared" si="7"/>
        <v>35230565.092192881</v>
      </c>
      <c r="Q36" s="74">
        <f>'Actuarial balances'!R62</f>
        <v>35167737.575934008</v>
      </c>
      <c r="R36" s="76">
        <f t="shared" si="10"/>
        <v>62827.516258873045</v>
      </c>
    </row>
    <row r="37" spans="1:18" x14ac:dyDescent="0.25">
      <c r="A37" s="12">
        <v>9</v>
      </c>
      <c r="B37" s="29">
        <f>'Invested asset rollforwards'!O44</f>
        <v>38495047.53625004</v>
      </c>
      <c r="C37" s="29">
        <f>'Actuarial balances'!D100</f>
        <v>447177.52560653543</v>
      </c>
      <c r="D37" s="29">
        <f t="shared" si="8"/>
        <v>38942225.061856575</v>
      </c>
      <c r="F37" s="29">
        <f>'Actuarial balances'!B157</f>
        <v>38924308.528334498</v>
      </c>
      <c r="H37" s="29">
        <f t="shared" si="6"/>
        <v>17916.533522076905</v>
      </c>
      <c r="M37" s="73">
        <f t="shared" si="9"/>
        <v>9</v>
      </c>
      <c r="N37" s="74">
        <f t="shared" si="7"/>
        <v>38495047.53625004</v>
      </c>
      <c r="O37" s="74">
        <f t="shared" si="7"/>
        <v>447177.52560653543</v>
      </c>
      <c r="P37" s="74">
        <f t="shared" si="7"/>
        <v>38942225.061856575</v>
      </c>
      <c r="Q37" s="74">
        <f>'Actuarial balances'!R63</f>
        <v>38924308.528334498</v>
      </c>
      <c r="R37" s="76">
        <f t="shared" si="10"/>
        <v>17916.533522076905</v>
      </c>
    </row>
    <row r="38" spans="1:18" x14ac:dyDescent="0.25">
      <c r="A38" s="12">
        <v>10</v>
      </c>
      <c r="B38" s="29">
        <f>'Invested asset rollforwards'!O45</f>
        <v>0</v>
      </c>
      <c r="C38" s="29">
        <f>'Actuarial balances'!D101</f>
        <v>0</v>
      </c>
      <c r="D38" s="29">
        <f t="shared" si="8"/>
        <v>0</v>
      </c>
      <c r="F38" s="29">
        <f>'Actuarial balances'!B158</f>
        <v>0</v>
      </c>
      <c r="H38" s="29">
        <f t="shared" si="6"/>
        <v>0</v>
      </c>
      <c r="M38" s="77">
        <f t="shared" si="9"/>
        <v>10</v>
      </c>
      <c r="N38" s="78">
        <f t="shared" si="7"/>
        <v>0</v>
      </c>
      <c r="O38" s="78">
        <f t="shared" si="7"/>
        <v>0</v>
      </c>
      <c r="P38" s="78">
        <f t="shared" si="7"/>
        <v>0</v>
      </c>
      <c r="Q38" s="78">
        <f>'Actuarial balances'!R64</f>
        <v>0</v>
      </c>
      <c r="R38" s="79">
        <f>P38-Q38</f>
        <v>0</v>
      </c>
    </row>
  </sheetData>
  <mergeCells count="2">
    <mergeCell ref="M8:Q8"/>
    <mergeCell ref="M25:Q25"/>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4"/>
  <sheetViews>
    <sheetView topLeftCell="A25" workbookViewId="0">
      <selection activeCell="D37" sqref="D37"/>
    </sheetView>
  </sheetViews>
  <sheetFormatPr defaultColWidth="8.7109375" defaultRowHeight="15" x14ac:dyDescent="0.25"/>
  <cols>
    <col min="1" max="1" width="22.28515625" style="12" bestFit="1" customWidth="1"/>
    <col min="2" max="2" width="11.5703125" style="12" bestFit="1" customWidth="1"/>
    <col min="3" max="3" width="16.5703125" style="12" customWidth="1"/>
    <col min="4" max="4" width="13.7109375" style="12" bestFit="1" customWidth="1"/>
    <col min="5" max="5" width="12.5703125" style="12" bestFit="1" customWidth="1"/>
    <col min="6" max="6" width="11.5703125" style="12" bestFit="1" customWidth="1"/>
    <col min="7" max="8" width="10.5703125" style="12" bestFit="1" customWidth="1"/>
    <col min="9" max="16384" width="8.7109375" style="12"/>
  </cols>
  <sheetData>
    <row r="1" spans="1:5" x14ac:dyDescent="0.25">
      <c r="A1" s="13" t="s">
        <v>146</v>
      </c>
    </row>
    <row r="2" spans="1:5" x14ac:dyDescent="0.25">
      <c r="A2" s="11" t="s">
        <v>147</v>
      </c>
    </row>
    <row r="3" spans="1:5" x14ac:dyDescent="0.25">
      <c r="A3" s="15" t="s">
        <v>148</v>
      </c>
    </row>
    <row r="4" spans="1:5" x14ac:dyDescent="0.25">
      <c r="A4" s="16" t="s">
        <v>149</v>
      </c>
    </row>
    <row r="6" spans="1:5" x14ac:dyDescent="0.25">
      <c r="A6" s="1" t="s">
        <v>54</v>
      </c>
    </row>
    <row r="7" spans="1:5" x14ac:dyDescent="0.25">
      <c r="A7" s="1"/>
    </row>
    <row r="8" spans="1:5" x14ac:dyDescent="0.25">
      <c r="A8" s="1" t="s">
        <v>83</v>
      </c>
    </row>
    <row r="10" spans="1:5" x14ac:dyDescent="0.25">
      <c r="A10" s="3"/>
      <c r="B10" s="20" t="s">
        <v>12</v>
      </c>
      <c r="C10" s="20"/>
      <c r="D10" s="20"/>
      <c r="E10" s="20" t="s">
        <v>12</v>
      </c>
    </row>
    <row r="11" spans="1:5" x14ac:dyDescent="0.25">
      <c r="B11" s="20" t="s">
        <v>15</v>
      </c>
      <c r="C11" s="20"/>
      <c r="D11" s="20"/>
      <c r="E11" s="20" t="s">
        <v>15</v>
      </c>
    </row>
    <row r="12" spans="1:5" x14ac:dyDescent="0.25">
      <c r="A12" s="20" t="s">
        <v>0</v>
      </c>
      <c r="B12" s="20" t="s">
        <v>55</v>
      </c>
      <c r="C12" s="20" t="s">
        <v>46</v>
      </c>
      <c r="D12" s="20" t="s">
        <v>16</v>
      </c>
      <c r="E12" s="20" t="s">
        <v>30</v>
      </c>
    </row>
    <row r="13" spans="1:5" x14ac:dyDescent="0.25">
      <c r="A13" s="2" t="s">
        <v>1</v>
      </c>
      <c r="B13" s="2" t="s">
        <v>1</v>
      </c>
      <c r="C13" s="2" t="s">
        <v>8</v>
      </c>
      <c r="D13" s="2" t="s">
        <v>17</v>
      </c>
      <c r="E13" s="2" t="s">
        <v>1</v>
      </c>
    </row>
    <row r="14" spans="1:5" x14ac:dyDescent="0.25">
      <c r="E14" s="22">
        <v>0</v>
      </c>
    </row>
    <row r="15" spans="1:5" x14ac:dyDescent="0.25">
      <c r="A15" s="12">
        <v>1</v>
      </c>
      <c r="B15" s="29">
        <f>E14</f>
        <v>0</v>
      </c>
      <c r="C15" s="29">
        <f>'Income statement'!L14</f>
        <v>-158172.20639250951</v>
      </c>
      <c r="D15" s="29">
        <f>'Invested asset rollforwards'!K16</f>
        <v>158172.20639250951</v>
      </c>
      <c r="E15" s="29">
        <f>E14+B15+C15+D15</f>
        <v>0</v>
      </c>
    </row>
    <row r="16" spans="1:5" x14ac:dyDescent="0.25">
      <c r="A16" s="12">
        <v>2</v>
      </c>
      <c r="B16" s="29">
        <f t="shared" ref="B16:B24" si="0">E15</f>
        <v>0</v>
      </c>
      <c r="C16" s="29">
        <f>'Income statement'!L15</f>
        <v>-24966.43511224119</v>
      </c>
      <c r="D16" s="29">
        <f>'Invested asset rollforwards'!K17</f>
        <v>24966.43511224119</v>
      </c>
      <c r="E16" s="29">
        <f t="shared" ref="E16:E24" si="1">E15+B16+C16+D16</f>
        <v>0</v>
      </c>
    </row>
    <row r="17" spans="1:5" x14ac:dyDescent="0.25">
      <c r="A17" s="12">
        <v>3</v>
      </c>
      <c r="B17" s="29">
        <f t="shared" si="0"/>
        <v>0</v>
      </c>
      <c r="C17" s="29">
        <f>'Income statement'!L16</f>
        <v>3415.2003332249587</v>
      </c>
      <c r="D17" s="29">
        <f>'Invested asset rollforwards'!K18</f>
        <v>-3415.2003332249587</v>
      </c>
      <c r="E17" s="29">
        <f t="shared" si="1"/>
        <v>0</v>
      </c>
    </row>
    <row r="18" spans="1:5" x14ac:dyDescent="0.25">
      <c r="A18" s="12">
        <v>4</v>
      </c>
      <c r="B18" s="29">
        <f t="shared" si="0"/>
        <v>0</v>
      </c>
      <c r="C18" s="29">
        <f>'Income statement'!L17</f>
        <v>30588.794972586795</v>
      </c>
      <c r="D18" s="29">
        <f>'Invested asset rollforwards'!K19</f>
        <v>-30588.794972586795</v>
      </c>
      <c r="E18" s="29">
        <f t="shared" si="1"/>
        <v>0</v>
      </c>
    </row>
    <row r="19" spans="1:5" x14ac:dyDescent="0.25">
      <c r="A19" s="12">
        <v>5</v>
      </c>
      <c r="B19" s="29">
        <f t="shared" si="0"/>
        <v>0</v>
      </c>
      <c r="C19" s="29">
        <f>'Income statement'!L18</f>
        <v>55774.349942253204</v>
      </c>
      <c r="D19" s="29">
        <f>'Invested asset rollforwards'!K20</f>
        <v>-55774.349942253204</v>
      </c>
      <c r="E19" s="29">
        <f t="shared" si="1"/>
        <v>0</v>
      </c>
    </row>
    <row r="20" spans="1:5" x14ac:dyDescent="0.25">
      <c r="A20" s="12">
        <v>6</v>
      </c>
      <c r="B20" s="29">
        <f t="shared" si="0"/>
        <v>0</v>
      </c>
      <c r="C20" s="29">
        <f>'Income statement'!L19</f>
        <v>79690.963999873959</v>
      </c>
      <c r="D20" s="29">
        <f>'Invested asset rollforwards'!K21</f>
        <v>-79690.963999873959</v>
      </c>
      <c r="E20" s="29">
        <f t="shared" si="1"/>
        <v>0</v>
      </c>
    </row>
    <row r="21" spans="1:5" x14ac:dyDescent="0.25">
      <c r="A21" s="12">
        <v>7</v>
      </c>
      <c r="B21" s="29">
        <f t="shared" si="0"/>
        <v>0</v>
      </c>
      <c r="C21" s="29">
        <f>'Income statement'!L20</f>
        <v>102923.72729756485</v>
      </c>
      <c r="D21" s="29">
        <f>'Invested asset rollforwards'!K22</f>
        <v>-102923.72729756485</v>
      </c>
      <c r="E21" s="29">
        <f t="shared" si="1"/>
        <v>0</v>
      </c>
    </row>
    <row r="22" spans="1:5" x14ac:dyDescent="0.25">
      <c r="A22" s="12">
        <v>8</v>
      </c>
      <c r="B22" s="29">
        <f t="shared" si="0"/>
        <v>0</v>
      </c>
      <c r="C22" s="29">
        <f>'Income statement'!L21</f>
        <v>125946.53997202532</v>
      </c>
      <c r="D22" s="29">
        <f>'Invested asset rollforwards'!K23</f>
        <v>-125946.53997202532</v>
      </c>
      <c r="E22" s="29">
        <f t="shared" si="1"/>
        <v>0</v>
      </c>
    </row>
    <row r="23" spans="1:5" x14ac:dyDescent="0.25">
      <c r="A23" s="12">
        <v>9</v>
      </c>
      <c r="B23" s="29">
        <f t="shared" si="0"/>
        <v>0</v>
      </c>
      <c r="C23" s="29">
        <f>'Income statement'!L22</f>
        <v>149183.78359801491</v>
      </c>
      <c r="D23" s="29">
        <f>'Invested asset rollforwards'!K24</f>
        <v>-149183.78359801491</v>
      </c>
      <c r="E23" s="29">
        <f t="shared" si="1"/>
        <v>0</v>
      </c>
    </row>
    <row r="24" spans="1:5" x14ac:dyDescent="0.25">
      <c r="A24" s="12">
        <v>10</v>
      </c>
      <c r="B24" s="29">
        <f t="shared" si="0"/>
        <v>0</v>
      </c>
      <c r="C24" s="29">
        <f>'Income statement'!L23</f>
        <v>173023.7864928128</v>
      </c>
      <c r="D24" s="29">
        <f>'Invested asset rollforwards'!K25</f>
        <v>-173023.7864928128</v>
      </c>
      <c r="E24" s="29">
        <f t="shared" si="1"/>
        <v>0</v>
      </c>
    </row>
    <row r="25" spans="1:5" x14ac:dyDescent="0.25">
      <c r="B25" s="29"/>
      <c r="C25" s="29"/>
      <c r="D25" s="29"/>
      <c r="E25" s="29"/>
    </row>
    <row r="26" spans="1:5" x14ac:dyDescent="0.25">
      <c r="A26" s="4" t="s">
        <v>174</v>
      </c>
      <c r="B26" s="29"/>
      <c r="C26" s="29"/>
      <c r="D26" s="29"/>
      <c r="E26" s="29"/>
    </row>
    <row r="27" spans="1:5" x14ac:dyDescent="0.25">
      <c r="B27" s="29"/>
      <c r="C27" s="29"/>
      <c r="D27" s="29"/>
      <c r="E27" s="29"/>
    </row>
    <row r="28" spans="1:5" x14ac:dyDescent="0.25">
      <c r="A28" s="3"/>
      <c r="B28" s="20" t="s">
        <v>12</v>
      </c>
      <c r="C28" s="20"/>
      <c r="D28" s="20"/>
      <c r="E28" s="20" t="s">
        <v>12</v>
      </c>
    </row>
    <row r="29" spans="1:5" x14ac:dyDescent="0.25">
      <c r="B29" s="20" t="s">
        <v>15</v>
      </c>
      <c r="C29" s="20" t="s">
        <v>18</v>
      </c>
      <c r="D29" s="20"/>
      <c r="E29" s="20" t="s">
        <v>15</v>
      </c>
    </row>
    <row r="30" spans="1:5" x14ac:dyDescent="0.25">
      <c r="A30" s="20" t="s">
        <v>0</v>
      </c>
      <c r="B30" s="20" t="s">
        <v>55</v>
      </c>
      <c r="C30" s="20" t="s">
        <v>101</v>
      </c>
      <c r="D30" s="20" t="s">
        <v>16</v>
      </c>
      <c r="E30" s="20" t="s">
        <v>30</v>
      </c>
    </row>
    <row r="31" spans="1:5" x14ac:dyDescent="0.25">
      <c r="A31" s="2" t="s">
        <v>1</v>
      </c>
      <c r="B31" s="2" t="s">
        <v>1</v>
      </c>
      <c r="C31" s="2" t="s">
        <v>8</v>
      </c>
      <c r="D31" s="2" t="s">
        <v>17</v>
      </c>
      <c r="E31" s="2" t="s">
        <v>1</v>
      </c>
    </row>
    <row r="32" spans="1:5" x14ac:dyDescent="0.25">
      <c r="E32" s="29">
        <v>0</v>
      </c>
    </row>
    <row r="33" spans="1:8" x14ac:dyDescent="0.25">
      <c r="A33" s="12">
        <v>1</v>
      </c>
      <c r="B33" s="29">
        <f t="shared" ref="B33:B42" si="2">E32</f>
        <v>0</v>
      </c>
      <c r="C33" s="29">
        <f>'Income statement'!Q34</f>
        <v>-158172.20639250951</v>
      </c>
      <c r="D33" s="29">
        <f>'Invested asset rollforwards'!K36</f>
        <v>158172.20639250951</v>
      </c>
      <c r="E33" s="29">
        <f>B33+C33+D33</f>
        <v>0</v>
      </c>
    </row>
    <row r="34" spans="1:8" x14ac:dyDescent="0.25">
      <c r="A34" s="12">
        <v>2</v>
      </c>
      <c r="B34" s="29">
        <f t="shared" si="2"/>
        <v>0</v>
      </c>
      <c r="C34" s="29">
        <f>'Income statement'!Q35</f>
        <v>-24966.43511224119</v>
      </c>
      <c r="D34" s="29">
        <f>'Invested asset rollforwards'!K37</f>
        <v>24966.43511224119</v>
      </c>
      <c r="E34" s="29">
        <f t="shared" ref="E34:E42" si="3">B34+C34+D34</f>
        <v>0</v>
      </c>
    </row>
    <row r="35" spans="1:8" x14ac:dyDescent="0.25">
      <c r="A35" s="12">
        <v>3</v>
      </c>
      <c r="B35" s="29">
        <f t="shared" si="2"/>
        <v>0</v>
      </c>
      <c r="C35" s="29">
        <f>'Income statement'!Q36</f>
        <v>3415.2003332249587</v>
      </c>
      <c r="D35" s="29">
        <f>'Invested asset rollforwards'!K38</f>
        <v>-3415.2003332249587</v>
      </c>
      <c r="E35" s="29">
        <f t="shared" si="3"/>
        <v>0</v>
      </c>
    </row>
    <row r="36" spans="1:8" x14ac:dyDescent="0.25">
      <c r="A36" s="12">
        <v>4</v>
      </c>
      <c r="B36" s="29">
        <f t="shared" si="2"/>
        <v>0</v>
      </c>
      <c r="C36" s="29">
        <f>'Income statement'!Q37</f>
        <v>30588.794972586795</v>
      </c>
      <c r="D36" s="29">
        <f>'Invested asset rollforwards'!K39</f>
        <v>-30588.794972586795</v>
      </c>
      <c r="E36" s="29">
        <f t="shared" si="3"/>
        <v>0</v>
      </c>
    </row>
    <row r="37" spans="1:8" x14ac:dyDescent="0.25">
      <c r="A37" s="12">
        <v>5</v>
      </c>
      <c r="B37" s="29">
        <f t="shared" si="2"/>
        <v>0</v>
      </c>
      <c r="C37" s="29">
        <f>'Income statement'!Q38</f>
        <v>437304.65702517889</v>
      </c>
      <c r="D37" s="29">
        <f>'Invested asset rollforwards'!K40</f>
        <v>-55774.349942253204</v>
      </c>
      <c r="E37" s="29">
        <f t="shared" si="3"/>
        <v>381530.30708292569</v>
      </c>
      <c r="F37" s="29"/>
    </row>
    <row r="38" spans="1:8" x14ac:dyDescent="0.25">
      <c r="A38" s="12">
        <v>6</v>
      </c>
      <c r="B38" s="29">
        <f t="shared" si="2"/>
        <v>381530.30708292569</v>
      </c>
      <c r="C38" s="29">
        <f>'Income statement'!Q39</f>
        <v>-6406.5260898044799</v>
      </c>
      <c r="D38" s="29">
        <f>'Invested asset rollforwards'!K41</f>
        <v>-136966.03860563505</v>
      </c>
      <c r="E38" s="29">
        <f t="shared" si="3"/>
        <v>238157.74238748616</v>
      </c>
      <c r="F38" s="29"/>
      <c r="G38" s="29"/>
      <c r="H38" s="29"/>
    </row>
    <row r="39" spans="1:8" x14ac:dyDescent="0.25">
      <c r="A39" s="12">
        <v>7</v>
      </c>
      <c r="B39" s="29">
        <f t="shared" si="2"/>
        <v>238157.74238748616</v>
      </c>
      <c r="C39" s="29">
        <f>'Income statement'!Q40</f>
        <v>128214.15640107857</v>
      </c>
      <c r="D39" s="29">
        <f>'Invested asset rollforwards'!K42</f>
        <v>-231485.8470302046</v>
      </c>
      <c r="E39" s="29">
        <f t="shared" si="3"/>
        <v>134886.05175836012</v>
      </c>
      <c r="F39" s="29"/>
    </row>
    <row r="40" spans="1:8" x14ac:dyDescent="0.25">
      <c r="A40" s="12">
        <v>8</v>
      </c>
      <c r="B40" s="29">
        <f t="shared" si="2"/>
        <v>134886.05175836012</v>
      </c>
      <c r="C40" s="29">
        <f>'Income statement'!Q41</f>
        <v>267328.22759392648</v>
      </c>
      <c r="D40" s="29">
        <f>'Invested asset rollforwards'!K43</f>
        <v>-339386.7630934011</v>
      </c>
      <c r="E40" s="29">
        <f t="shared" si="3"/>
        <v>62827.516258885502</v>
      </c>
      <c r="F40" s="29"/>
    </row>
    <row r="41" spans="1:8" x14ac:dyDescent="0.25">
      <c r="A41" s="12">
        <v>9</v>
      </c>
      <c r="B41" s="29">
        <f t="shared" si="2"/>
        <v>62827.516258885502</v>
      </c>
      <c r="C41" s="29">
        <f>'Income statement'!Q42</f>
        <v>416885.11327612359</v>
      </c>
      <c r="D41" s="29">
        <f>'Invested asset rollforwards'!K44</f>
        <v>-461796.09601291717</v>
      </c>
      <c r="E41" s="29">
        <f t="shared" si="3"/>
        <v>17916.533522091922</v>
      </c>
      <c r="F41" s="29"/>
    </row>
    <row r="42" spans="1:8" x14ac:dyDescent="0.25">
      <c r="A42" s="12">
        <v>10</v>
      </c>
      <c r="B42" s="29">
        <f t="shared" si="2"/>
        <v>17916.533522091922</v>
      </c>
      <c r="C42" s="29">
        <f>'Income statement'!Q43</f>
        <v>582835.9167230532</v>
      </c>
      <c r="D42" s="29">
        <f>'Invested asset rollforwards'!K45</f>
        <v>-600752.45024514513</v>
      </c>
      <c r="E42" s="29">
        <f t="shared" si="3"/>
        <v>0</v>
      </c>
      <c r="F42" s="29"/>
    </row>
    <row r="44" spans="1:8" x14ac:dyDescent="0.25">
      <c r="C44" s="29"/>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Disclaimer</vt:lpstr>
      <vt:lpstr>Input</vt:lpstr>
      <vt:lpstr>Actuarial balances</vt:lpstr>
      <vt:lpstr>Income statement</vt:lpstr>
      <vt:lpstr>Invested asset rollforwards</vt:lpstr>
      <vt:lpstr>Balance sheet</vt:lpstr>
      <vt:lpstr>GAAP Equity Rollforward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2024-11-18T20:41:21Z</dcterms:created>
  <dcterms:modified xsi:type="dcterms:W3CDTF">2024-11-18T20:41:26Z</dcterms:modified>
</cp:coreProperties>
</file>