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omments1.xml" ContentType="application/vnd.openxmlformats-officedocument.spreadsheetml.comments+xml"/>
  <Override PartName="/xl/threadedComments/threadedComment1.xml" ContentType="application/vnd.ms-excel.threadedcomments+xml"/>
  <Override PartName="/xl/customProperty11.bin" ContentType="application/vnd.openxmlformats-officedocument.spreadsheetml.customProperty"/>
  <Override PartName="/xl/customProperty12.bin" ContentType="application/vnd.openxmlformats-officedocument.spreadsheetml.customProperty"/>
  <Override PartName="/xl/comments2.xml" ContentType="application/vnd.openxmlformats-officedocument.spreadsheetml.comments+xml"/>
  <Override PartName="/xl/threadedComments/threadedComment2.xml" ContentType="application/vnd.ms-excel.threadedcomment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omments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xr:revisionPtr revIDLastSave="4" documentId="13_ncr:1_{2878B4D2-229F-4D9D-941A-CBF13BA082B8}" xr6:coauthVersionLast="47" xr6:coauthVersionMax="47" xr10:uidLastSave="{EA2D85EE-A39A-4436-AAD8-F7B7DDBD54E7}"/>
  <bookViews>
    <workbookView xWindow="-120" yWindow="-120" windowWidth="29040" windowHeight="15720" tabRatio="818" xr2:uid="{00000000-000D-0000-FFFF-FFFF00000000}"/>
  </bookViews>
  <sheets>
    <sheet name="Disclaimer" sheetId="60" r:id="rId1"/>
    <sheet name="Actuarial balances" sheetId="2" r:id="rId2"/>
    <sheet name="GAAP Equity Rollforward" sheetId="6" r:id="rId3"/>
    <sheet name="Table 7-1-UL Unit Values" sheetId="17" r:id="rId4"/>
    <sheet name="Table 7-2-Persistency Bonus" sheetId="10" r:id="rId5"/>
    <sheet name="Table 7-3-Unearned Loads" sheetId="47" r:id="rId6"/>
    <sheet name="Table 7-4-URR" sheetId="8" r:id="rId7"/>
    <sheet name="Tables 7-5 to 7-8 PFBL" sheetId="13" r:id="rId8"/>
    <sheet name="Table 7-9-PFBLReserve" sheetId="15" r:id="rId9"/>
    <sheet name="Table 7-10-OptionBudget" sheetId="20" r:id="rId10"/>
    <sheet name="Table 7-10-Book Format" sheetId="59" r:id="rId11"/>
    <sheet name="Table 7-11-IULHostVEDInputs" sheetId="53" r:id="rId12"/>
    <sheet name="Table 12-IUL Census" sheetId="33" r:id="rId13"/>
    <sheet name="Tables7-13-23 - IULHostVEDCalcs" sheetId="54" r:id="rId14"/>
    <sheet name="Table 7-24-IULHostVEDRecap" sheetId="55" r:id="rId15"/>
    <sheet name="Table 7-25-Sales Inducement" sheetId="11" r:id="rId16"/>
    <sheet name="Tables 26a,b-MasterInputs" sheetId="1" r:id="rId17"/>
    <sheet name="Table 7-27-TradFormatIncome" sheetId="4" r:id="rId18"/>
    <sheet name="Table 7-28-IULTradFormatIncome" sheetId="44" r:id="rId19"/>
    <sheet name="Table 7-29-GAAPFormatIncome" sheetId="57" r:id="rId20"/>
    <sheet name="Table7-30 - IULGAAPFormatIncome" sheetId="58" r:id="rId21"/>
    <sheet name="Table7- 31UL Asset Rollforward" sheetId="7" r:id="rId22"/>
    <sheet name="Table 7-32 IUL - Assets Rollfwd" sheetId="45" r:id="rId23"/>
    <sheet name="Table 7-33-UL Balance sheet" sheetId="5" r:id="rId24"/>
    <sheet name="Table 7-34 IUL - Bal Sheet" sheetId="43" r:id="rId25"/>
    <sheet name="IDX AV No Decrements" sheetId="46" r:id="rId26"/>
  </sheets>
  <definedNames>
    <definedName name="_xlnm.Print_Area" localSheetId="10">'Table 7-10-Book Format'!$A$6:$F$48</definedName>
    <definedName name="_xlnm.Print_Area" localSheetId="9">'Table 7-10-OptionBudget'!$A$6:$F$48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0" i="10" l="1"/>
  <c r="D22" i="59"/>
  <c r="E22" i="59" s="1"/>
  <c r="B40" i="10"/>
  <c r="F40" i="10"/>
  <c r="D42" i="10"/>
  <c r="D43" i="10"/>
  <c r="D44" i="10"/>
  <c r="D45" i="10"/>
  <c r="D46" i="10"/>
  <c r="D47" i="10"/>
  <c r="D48" i="10"/>
  <c r="D41" i="10"/>
  <c r="D40" i="10"/>
  <c r="D23" i="59"/>
  <c r="D21" i="59"/>
  <c r="E21" i="59" s="1"/>
  <c r="E29" i="59" s="1"/>
  <c r="D20" i="59"/>
  <c r="E20" i="59" s="1"/>
  <c r="C14" i="59"/>
  <c r="C13" i="59"/>
  <c r="D29" i="59" l="1"/>
  <c r="E28" i="59"/>
  <c r="D24" i="59"/>
  <c r="D28" i="59"/>
  <c r="E24" i="59"/>
  <c r="E23" i="59"/>
  <c r="E27" i="59" l="1"/>
  <c r="E30" i="59" s="1"/>
  <c r="D27" i="59"/>
  <c r="D30" i="59" s="1"/>
  <c r="D32" i="59" l="1"/>
  <c r="D34" i="59" s="1"/>
  <c r="D31" i="59"/>
  <c r="D33" i="59" s="1"/>
  <c r="D35" i="59" s="1"/>
  <c r="E32" i="59"/>
  <c r="E34" i="59" s="1"/>
  <c r="E31" i="59"/>
  <c r="E33" i="59" s="1"/>
  <c r="E35" i="59" s="1"/>
  <c r="D36" i="59" l="1"/>
  <c r="E36" i="59"/>
  <c r="D38" i="59" l="1"/>
  <c r="D42" i="59" l="1"/>
  <c r="D43" i="59" s="1"/>
  <c r="D39" i="59"/>
  <c r="B57" i="1" l="1"/>
  <c r="B58" i="1" s="1"/>
  <c r="B59" i="1" s="1"/>
  <c r="B60" i="1" s="1"/>
  <c r="B61" i="1" s="1"/>
  <c r="B62" i="1" s="1"/>
  <c r="B63" i="1" s="1"/>
  <c r="B64" i="1" s="1"/>
  <c r="B65" i="1" s="1"/>
  <c r="B66" i="1" s="1"/>
  <c r="B67" i="1" s="1"/>
  <c r="B68" i="1" s="1"/>
  <c r="B69" i="1" s="1"/>
  <c r="B70" i="1" s="1"/>
  <c r="B71" i="1" s="1"/>
  <c r="B72" i="1" s="1"/>
  <c r="B73" i="1" s="1"/>
  <c r="B74" i="1" s="1"/>
  <c r="B75" i="1" s="1"/>
  <c r="D20" i="20"/>
  <c r="I19" i="53" s="1"/>
  <c r="DM18" i="54" l="1"/>
  <c r="CW18" i="54"/>
  <c r="AZ18" i="54"/>
  <c r="B14" i="58" l="1"/>
  <c r="C14" i="58" s="1"/>
  <c r="D14" i="58" s="1"/>
  <c r="E14" i="58" s="1"/>
  <c r="F14" i="58" s="1"/>
  <c r="G14" i="58" s="1"/>
  <c r="H14" i="58" s="1"/>
  <c r="I14" i="58" s="1"/>
  <c r="J14" i="58" s="1"/>
  <c r="K14" i="58" s="1"/>
  <c r="L14" i="58" s="1"/>
  <c r="M14" i="58" s="1"/>
  <c r="N14" i="58" s="1"/>
  <c r="O14" i="58" s="1"/>
  <c r="P14" i="58" s="1"/>
  <c r="Q14" i="58" s="1"/>
  <c r="B14" i="57"/>
  <c r="C14" i="57" s="1"/>
  <c r="D14" i="57" s="1"/>
  <c r="E14" i="57" s="1"/>
  <c r="F14" i="57" s="1"/>
  <c r="G14" i="57" s="1"/>
  <c r="H14" i="57" s="1"/>
  <c r="I14" i="57" s="1"/>
  <c r="J14" i="57" s="1"/>
  <c r="K14" i="57" s="1"/>
  <c r="L14" i="57" s="1"/>
  <c r="M14" i="57" s="1"/>
  <c r="N14" i="57" s="1"/>
  <c r="B14" i="44"/>
  <c r="C14" i="44" s="1"/>
  <c r="D14" i="44" s="1"/>
  <c r="E14" i="44" s="1"/>
  <c r="F14" i="44" s="1"/>
  <c r="G14" i="44" s="1"/>
  <c r="H14" i="44" s="1"/>
  <c r="I14" i="44" s="1"/>
  <c r="J14" i="44" s="1"/>
  <c r="K14" i="44" s="1"/>
  <c r="L14" i="44" s="1"/>
  <c r="M14" i="44" s="1"/>
  <c r="N14" i="44" s="1"/>
  <c r="B14" i="4"/>
  <c r="C14" i="4" s="1"/>
  <c r="D14" i="4" s="1"/>
  <c r="E14" i="4" s="1"/>
  <c r="F14" i="4" s="1"/>
  <c r="G14" i="4" s="1"/>
  <c r="H14" i="4" s="1"/>
  <c r="I14" i="4" s="1"/>
  <c r="J14" i="4" s="1"/>
  <c r="K14" i="4" s="1"/>
  <c r="C26" i="1" l="1"/>
  <c r="D26" i="1" s="1"/>
  <c r="E26" i="1" s="1"/>
  <c r="F26" i="1" s="1"/>
  <c r="G26" i="1" s="1"/>
  <c r="H26" i="1" s="1"/>
  <c r="I26" i="1" s="1"/>
  <c r="J26" i="1" s="1"/>
  <c r="C51" i="1" s="1"/>
  <c r="D51" i="1" s="1"/>
  <c r="E51" i="1" s="1"/>
  <c r="F51" i="1" s="1"/>
  <c r="G51" i="1" s="1"/>
  <c r="H51" i="1" s="1"/>
  <c r="I51" i="1" s="1"/>
  <c r="J51" i="1" s="1"/>
  <c r="K51" i="1" s="1"/>
  <c r="B8" i="55"/>
  <c r="C8" i="55" s="1"/>
  <c r="D8" i="55" s="1"/>
  <c r="E8" i="55" s="1"/>
  <c r="F8" i="55" s="1"/>
  <c r="DD81" i="54"/>
  <c r="DB81" i="54"/>
  <c r="CZ81" i="54"/>
  <c r="CY81" i="54"/>
  <c r="CX81" i="54"/>
  <c r="BG81" i="54"/>
  <c r="BE81" i="54"/>
  <c r="BC81" i="54"/>
  <c r="BB81" i="54"/>
  <c r="BA81" i="54"/>
  <c r="DL75" i="54"/>
  <c r="DM75" i="54" s="1"/>
  <c r="DN75" i="54" s="1"/>
  <c r="DO75" i="54" s="1"/>
  <c r="DP75" i="54" s="1"/>
  <c r="DQ75" i="54" s="1"/>
  <c r="DR75" i="54" s="1"/>
  <c r="DS75" i="54" s="1"/>
  <c r="DT75" i="54" s="1"/>
  <c r="DU75" i="54" s="1"/>
  <c r="DV75" i="54" s="1"/>
  <c r="DW75" i="54" s="1"/>
  <c r="DX75" i="54" s="1"/>
  <c r="DY75" i="54" s="1"/>
  <c r="DZ75" i="54" s="1"/>
  <c r="CV75" i="54"/>
  <c r="CW75" i="54" s="1"/>
  <c r="CX75" i="54" s="1"/>
  <c r="CY75" i="54" s="1"/>
  <c r="CZ75" i="54" s="1"/>
  <c r="DA75" i="54" s="1"/>
  <c r="DB75" i="54" s="1"/>
  <c r="DC75" i="54" s="1"/>
  <c r="DD75" i="54" s="1"/>
  <c r="DE75" i="54" s="1"/>
  <c r="DF75" i="54" s="1"/>
  <c r="DG75" i="54" s="1"/>
  <c r="DH75" i="54" s="1"/>
  <c r="DI75" i="54" s="1"/>
  <c r="DJ75" i="54" s="1"/>
  <c r="CF75" i="54"/>
  <c r="CG75" i="54" s="1"/>
  <c r="CH75" i="54" s="1"/>
  <c r="CI75" i="54" s="1"/>
  <c r="CJ75" i="54" s="1"/>
  <c r="CK75" i="54" s="1"/>
  <c r="CL75" i="54" s="1"/>
  <c r="CM75" i="54" s="1"/>
  <c r="CN75" i="54" s="1"/>
  <c r="CO75" i="54" s="1"/>
  <c r="CP75" i="54" s="1"/>
  <c r="CQ75" i="54" s="1"/>
  <c r="CR75" i="54" s="1"/>
  <c r="CS75" i="54" s="1"/>
  <c r="CT75" i="54" s="1"/>
  <c r="AY75" i="54"/>
  <c r="AZ75" i="54" s="1"/>
  <c r="BA75" i="54" s="1"/>
  <c r="BB75" i="54" s="1"/>
  <c r="BC75" i="54" s="1"/>
  <c r="BD75" i="54" s="1"/>
  <c r="BE75" i="54" s="1"/>
  <c r="BF75" i="54" s="1"/>
  <c r="BG75" i="54" s="1"/>
  <c r="BH75" i="54" s="1"/>
  <c r="BI75" i="54" s="1"/>
  <c r="BJ75" i="54" s="1"/>
  <c r="BK75" i="54" s="1"/>
  <c r="BL75" i="54" s="1"/>
  <c r="BM75" i="54" s="1"/>
  <c r="AI75" i="54"/>
  <c r="AJ75" i="54" s="1"/>
  <c r="AK75" i="54" s="1"/>
  <c r="AL75" i="54" s="1"/>
  <c r="AM75" i="54" s="1"/>
  <c r="AN75" i="54" s="1"/>
  <c r="AO75" i="54" s="1"/>
  <c r="AP75" i="54" s="1"/>
  <c r="AQ75" i="54" s="1"/>
  <c r="AR75" i="54" s="1"/>
  <c r="AS75" i="54" s="1"/>
  <c r="AT75" i="54" s="1"/>
  <c r="AU75" i="54" s="1"/>
  <c r="AV75" i="54" s="1"/>
  <c r="AW75" i="54" s="1"/>
  <c r="B75" i="54"/>
  <c r="C75" i="54" s="1"/>
  <c r="D75" i="54" s="1"/>
  <c r="E75" i="54" s="1"/>
  <c r="F75" i="54" s="1"/>
  <c r="G75" i="54" s="1"/>
  <c r="H75" i="54" s="1"/>
  <c r="I75" i="54" s="1"/>
  <c r="J75" i="54" s="1"/>
  <c r="K75" i="54" s="1"/>
  <c r="L75" i="54" s="1"/>
  <c r="M75" i="54" s="1"/>
  <c r="N75" i="54" s="1"/>
  <c r="O75" i="54" s="1"/>
  <c r="P75" i="54" s="1"/>
  <c r="ED69" i="54"/>
  <c r="EI69" i="54" s="1"/>
  <c r="EC69" i="54"/>
  <c r="EH69" i="54" s="1"/>
  <c r="EB69" i="54"/>
  <c r="EG69" i="54" s="1"/>
  <c r="EA69" i="54"/>
  <c r="EF69" i="54" s="1"/>
  <c r="DX68" i="54"/>
  <c r="DP68" i="54"/>
  <c r="DP100" i="54" s="1"/>
  <c r="DH68" i="54"/>
  <c r="CZ68" i="54"/>
  <c r="CZ100" i="54" s="1"/>
  <c r="CR68" i="54"/>
  <c r="CJ68" i="54"/>
  <c r="CB68" i="54"/>
  <c r="BT68" i="54"/>
  <c r="BK68" i="54"/>
  <c r="BC68" i="54"/>
  <c r="AU68" i="54"/>
  <c r="AM68" i="54"/>
  <c r="AE68" i="54"/>
  <c r="W68" i="54"/>
  <c r="N68" i="54"/>
  <c r="F68" i="54"/>
  <c r="DX67" i="54"/>
  <c r="DP67" i="54"/>
  <c r="DP99" i="54" s="1"/>
  <c r="DH67" i="54"/>
  <c r="CZ67" i="54"/>
  <c r="CZ99" i="54" s="1"/>
  <c r="CR67" i="54"/>
  <c r="CJ67" i="54"/>
  <c r="CB67" i="54"/>
  <c r="BT67" i="54"/>
  <c r="BK67" i="54"/>
  <c r="BC67" i="54"/>
  <c r="AU67" i="54"/>
  <c r="AM67" i="54"/>
  <c r="AE67" i="54"/>
  <c r="W67" i="54"/>
  <c r="N67" i="54"/>
  <c r="F67" i="54"/>
  <c r="DX66" i="54"/>
  <c r="DP66" i="54"/>
  <c r="DP98" i="54" s="1"/>
  <c r="DH66" i="54"/>
  <c r="CZ66" i="54"/>
  <c r="CZ98" i="54" s="1"/>
  <c r="CR66" i="54"/>
  <c r="CJ66" i="54"/>
  <c r="CB66" i="54"/>
  <c r="BT66" i="54"/>
  <c r="BK66" i="54"/>
  <c r="BC66" i="54"/>
  <c r="AU66" i="54"/>
  <c r="AM66" i="54"/>
  <c r="AE66" i="54"/>
  <c r="W66" i="54"/>
  <c r="N66" i="54"/>
  <c r="F66" i="54"/>
  <c r="DX65" i="54"/>
  <c r="DP65" i="54"/>
  <c r="DP97" i="54" s="1"/>
  <c r="DH65" i="54"/>
  <c r="CZ65" i="54"/>
  <c r="CZ97" i="54" s="1"/>
  <c r="CR65" i="54"/>
  <c r="CJ65" i="54"/>
  <c r="CB65" i="54"/>
  <c r="BT65" i="54"/>
  <c r="BK65" i="54"/>
  <c r="BC65" i="54"/>
  <c r="AU65" i="54"/>
  <c r="AM65" i="54"/>
  <c r="AE65" i="54"/>
  <c r="W65" i="54"/>
  <c r="N65" i="54"/>
  <c r="F65" i="54"/>
  <c r="DX64" i="54"/>
  <c r="DP64" i="54"/>
  <c r="DP96" i="54" s="1"/>
  <c r="DH64" i="54"/>
  <c r="CZ64" i="54"/>
  <c r="CZ96" i="54" s="1"/>
  <c r="CR64" i="54"/>
  <c r="CJ64" i="54"/>
  <c r="CB64" i="54"/>
  <c r="BT64" i="54"/>
  <c r="BK64" i="54"/>
  <c r="BC64" i="54"/>
  <c r="AU64" i="54"/>
  <c r="AM64" i="54"/>
  <c r="AE64" i="54"/>
  <c r="W64" i="54"/>
  <c r="N64" i="54"/>
  <c r="F64" i="54"/>
  <c r="DX63" i="54"/>
  <c r="DP63" i="54"/>
  <c r="DP95" i="54" s="1"/>
  <c r="DH63" i="54"/>
  <c r="CZ63" i="54"/>
  <c r="CZ95" i="54" s="1"/>
  <c r="CR63" i="54"/>
  <c r="CJ63" i="54"/>
  <c r="CB63" i="54"/>
  <c r="BT63" i="54"/>
  <c r="BK63" i="54"/>
  <c r="BC63" i="54"/>
  <c r="AU63" i="54"/>
  <c r="AM63" i="54"/>
  <c r="AE63" i="54"/>
  <c r="W63" i="54"/>
  <c r="N63" i="54"/>
  <c r="F63" i="54"/>
  <c r="DX62" i="54"/>
  <c r="DP62" i="54"/>
  <c r="DH62" i="54"/>
  <c r="CZ62" i="54"/>
  <c r="CZ94" i="54" s="1"/>
  <c r="CR62" i="54"/>
  <c r="CJ62" i="54"/>
  <c r="CB62" i="54"/>
  <c r="BT62" i="54"/>
  <c r="BK62" i="54"/>
  <c r="BC62" i="54"/>
  <c r="AU62" i="54"/>
  <c r="AM62" i="54"/>
  <c r="AE62" i="54"/>
  <c r="W62" i="54"/>
  <c r="N62" i="54"/>
  <c r="F62" i="54"/>
  <c r="DX61" i="54"/>
  <c r="DP61" i="54"/>
  <c r="DP93" i="54" s="1"/>
  <c r="DH61" i="54"/>
  <c r="CZ61" i="54"/>
  <c r="CZ93" i="54" s="1"/>
  <c r="CR61" i="54"/>
  <c r="CJ61" i="54"/>
  <c r="CB61" i="54"/>
  <c r="BT61" i="54"/>
  <c r="BK61" i="54"/>
  <c r="BC61" i="54"/>
  <c r="AU61" i="54"/>
  <c r="AM61" i="54"/>
  <c r="AE61" i="54"/>
  <c r="W61" i="54"/>
  <c r="N61" i="54"/>
  <c r="F61" i="54"/>
  <c r="DX60" i="54"/>
  <c r="DP60" i="54"/>
  <c r="DP92" i="54" s="1"/>
  <c r="DH60" i="54"/>
  <c r="CZ60" i="54"/>
  <c r="CZ92" i="54" s="1"/>
  <c r="CR60" i="54"/>
  <c r="CJ60" i="54"/>
  <c r="CB60" i="54"/>
  <c r="BT60" i="54"/>
  <c r="BK60" i="54"/>
  <c r="BC60" i="54"/>
  <c r="AU60" i="54"/>
  <c r="AM60" i="54"/>
  <c r="AE60" i="54"/>
  <c r="W60" i="54"/>
  <c r="N60" i="54"/>
  <c r="F60" i="54"/>
  <c r="DX59" i="54"/>
  <c r="DP59" i="54"/>
  <c r="DP91" i="54" s="1"/>
  <c r="DH59" i="54"/>
  <c r="CZ59" i="54"/>
  <c r="CZ91" i="54" s="1"/>
  <c r="CR59" i="54"/>
  <c r="CJ59" i="54"/>
  <c r="CB59" i="54"/>
  <c r="BT59" i="54"/>
  <c r="BK59" i="54"/>
  <c r="BC59" i="54"/>
  <c r="AU59" i="54"/>
  <c r="AM59" i="54"/>
  <c r="AE59" i="54"/>
  <c r="W59" i="54"/>
  <c r="N59" i="54"/>
  <c r="F59" i="54"/>
  <c r="DP58" i="54"/>
  <c r="DP90" i="54" s="1"/>
  <c r="CZ58" i="54"/>
  <c r="CZ90" i="54" s="1"/>
  <c r="CJ58" i="54"/>
  <c r="BT58" i="54"/>
  <c r="BC58" i="54"/>
  <c r="AM58" i="54"/>
  <c r="W58" i="54"/>
  <c r="F58" i="54"/>
  <c r="DP57" i="54"/>
  <c r="CZ57" i="54"/>
  <c r="CZ89" i="54" s="1"/>
  <c r="CJ57" i="54"/>
  <c r="BT57" i="54"/>
  <c r="BC57" i="54"/>
  <c r="AM57" i="54"/>
  <c r="W57" i="54"/>
  <c r="F57" i="54"/>
  <c r="DP56" i="54"/>
  <c r="CZ56" i="54"/>
  <c r="CJ56" i="54"/>
  <c r="BT56" i="54"/>
  <c r="BC56" i="54"/>
  <c r="AM56" i="54"/>
  <c r="W56" i="54"/>
  <c r="F56" i="54"/>
  <c r="DP55" i="54"/>
  <c r="CZ55" i="54"/>
  <c r="CZ87" i="54" s="1"/>
  <c r="CJ55" i="54"/>
  <c r="BT55" i="54"/>
  <c r="BC55" i="54"/>
  <c r="AM55" i="54"/>
  <c r="W55" i="54"/>
  <c r="F55" i="54"/>
  <c r="DP54" i="54"/>
  <c r="CZ54" i="54"/>
  <c r="CZ86" i="54" s="1"/>
  <c r="CJ54" i="54"/>
  <c r="BT54" i="54"/>
  <c r="BC54" i="54"/>
  <c r="AM54" i="54"/>
  <c r="W54" i="54"/>
  <c r="F54" i="54"/>
  <c r="DP53" i="54"/>
  <c r="CZ53" i="54"/>
  <c r="CZ85" i="54" s="1"/>
  <c r="CJ53" i="54"/>
  <c r="BT53" i="54"/>
  <c r="BC53" i="54"/>
  <c r="AM53" i="54"/>
  <c r="W53" i="54"/>
  <c r="F53" i="54"/>
  <c r="DP52" i="54"/>
  <c r="DP84" i="54" s="1"/>
  <c r="CZ52" i="54"/>
  <c r="CZ84" i="54" s="1"/>
  <c r="CJ52" i="54"/>
  <c r="BT52" i="54"/>
  <c r="BC52" i="54"/>
  <c r="AM52" i="54"/>
  <c r="W52" i="54"/>
  <c r="F52" i="54"/>
  <c r="CZ51" i="54"/>
  <c r="CZ83" i="54" s="1"/>
  <c r="CJ51" i="54"/>
  <c r="BC51" i="54"/>
  <c r="AM51" i="54"/>
  <c r="W51" i="54"/>
  <c r="F51" i="54"/>
  <c r="DY50" i="54"/>
  <c r="DP50" i="54"/>
  <c r="DP82" i="54" s="1"/>
  <c r="CJ50" i="54"/>
  <c r="AM50" i="54"/>
  <c r="F50" i="54"/>
  <c r="DY49" i="54"/>
  <c r="DI49" i="54"/>
  <c r="CR49" i="54"/>
  <c r="CB49" i="54"/>
  <c r="BL49" i="54"/>
  <c r="AU49" i="54"/>
  <c r="AE49" i="54"/>
  <c r="N49" i="54"/>
  <c r="DL43" i="54"/>
  <c r="DM43" i="54" s="1"/>
  <c r="DN43" i="54" s="1"/>
  <c r="DO43" i="54" s="1"/>
  <c r="DP43" i="54" s="1"/>
  <c r="DQ43" i="54" s="1"/>
  <c r="DR43" i="54" s="1"/>
  <c r="DS43" i="54" s="1"/>
  <c r="DT43" i="54" s="1"/>
  <c r="DU43" i="54" s="1"/>
  <c r="DV43" i="54" s="1"/>
  <c r="DW43" i="54" s="1"/>
  <c r="DX43" i="54" s="1"/>
  <c r="DY43" i="54" s="1"/>
  <c r="CV43" i="54"/>
  <c r="CW43" i="54" s="1"/>
  <c r="CX43" i="54" s="1"/>
  <c r="CY43" i="54" s="1"/>
  <c r="CZ43" i="54" s="1"/>
  <c r="DA43" i="54" s="1"/>
  <c r="DB43" i="54" s="1"/>
  <c r="DC43" i="54" s="1"/>
  <c r="DD43" i="54" s="1"/>
  <c r="DE43" i="54" s="1"/>
  <c r="DF43" i="54" s="1"/>
  <c r="DG43" i="54" s="1"/>
  <c r="DH43" i="54" s="1"/>
  <c r="DI43" i="54" s="1"/>
  <c r="CF43" i="54"/>
  <c r="CG43" i="54" s="1"/>
  <c r="CH43" i="54" s="1"/>
  <c r="CI43" i="54" s="1"/>
  <c r="CJ43" i="54" s="1"/>
  <c r="CK43" i="54" s="1"/>
  <c r="CL43" i="54" s="1"/>
  <c r="CM43" i="54" s="1"/>
  <c r="CN43" i="54" s="1"/>
  <c r="CO43" i="54" s="1"/>
  <c r="CP43" i="54" s="1"/>
  <c r="CQ43" i="54" s="1"/>
  <c r="CR43" i="54" s="1"/>
  <c r="CS43" i="54" s="1"/>
  <c r="BP43" i="54"/>
  <c r="BQ43" i="54" s="1"/>
  <c r="BR43" i="54" s="1"/>
  <c r="BS43" i="54" s="1"/>
  <c r="BT43" i="54" s="1"/>
  <c r="BU43" i="54" s="1"/>
  <c r="BV43" i="54" s="1"/>
  <c r="BW43" i="54" s="1"/>
  <c r="BX43" i="54" s="1"/>
  <c r="BY43" i="54" s="1"/>
  <c r="BZ43" i="54" s="1"/>
  <c r="CA43" i="54" s="1"/>
  <c r="CB43" i="54" s="1"/>
  <c r="CC43" i="54" s="1"/>
  <c r="AY43" i="54"/>
  <c r="AZ43" i="54" s="1"/>
  <c r="BA43" i="54" s="1"/>
  <c r="BB43" i="54" s="1"/>
  <c r="BC43" i="54" s="1"/>
  <c r="BD43" i="54" s="1"/>
  <c r="BE43" i="54" s="1"/>
  <c r="BF43" i="54" s="1"/>
  <c r="BG43" i="54" s="1"/>
  <c r="BH43" i="54" s="1"/>
  <c r="BI43" i="54" s="1"/>
  <c r="BJ43" i="54" s="1"/>
  <c r="BK43" i="54" s="1"/>
  <c r="BL43" i="54" s="1"/>
  <c r="AI43" i="54"/>
  <c r="AJ43" i="54" s="1"/>
  <c r="AK43" i="54" s="1"/>
  <c r="AL43" i="54" s="1"/>
  <c r="AM43" i="54" s="1"/>
  <c r="AN43" i="54" s="1"/>
  <c r="AO43" i="54" s="1"/>
  <c r="AP43" i="54" s="1"/>
  <c r="AQ43" i="54" s="1"/>
  <c r="AR43" i="54" s="1"/>
  <c r="AS43" i="54" s="1"/>
  <c r="AT43" i="54" s="1"/>
  <c r="AU43" i="54" s="1"/>
  <c r="AV43" i="54" s="1"/>
  <c r="S43" i="54"/>
  <c r="T43" i="54" s="1"/>
  <c r="U43" i="54" s="1"/>
  <c r="V43" i="54" s="1"/>
  <c r="W43" i="54" s="1"/>
  <c r="X43" i="54" s="1"/>
  <c r="Y43" i="54" s="1"/>
  <c r="Z43" i="54" s="1"/>
  <c r="AA43" i="54" s="1"/>
  <c r="AB43" i="54" s="1"/>
  <c r="AC43" i="54" s="1"/>
  <c r="AD43" i="54" s="1"/>
  <c r="AE43" i="54" s="1"/>
  <c r="AF43" i="54" s="1"/>
  <c r="B43" i="54"/>
  <c r="C43" i="54" s="1"/>
  <c r="D43" i="54" s="1"/>
  <c r="E43" i="54" s="1"/>
  <c r="F43" i="54" s="1"/>
  <c r="G43" i="54" s="1"/>
  <c r="H43" i="54" s="1"/>
  <c r="I43" i="54" s="1"/>
  <c r="J43" i="54" s="1"/>
  <c r="K43" i="54" s="1"/>
  <c r="L43" i="54" s="1"/>
  <c r="M43" i="54" s="1"/>
  <c r="N43" i="54" s="1"/>
  <c r="O43" i="54" s="1"/>
  <c r="L38" i="54"/>
  <c r="DX37" i="54"/>
  <c r="DH37" i="54"/>
  <c r="CR37" i="54"/>
  <c r="CB37" i="54"/>
  <c r="BT37" i="54"/>
  <c r="BK37" i="54"/>
  <c r="AU37" i="54"/>
  <c r="AE37" i="54"/>
  <c r="W37" i="54"/>
  <c r="N37" i="54"/>
  <c r="F37" i="54"/>
  <c r="AM37" i="54" s="1"/>
  <c r="DX36" i="54"/>
  <c r="DH36" i="54"/>
  <c r="CR36" i="54"/>
  <c r="CB36" i="54"/>
  <c r="BT36" i="54"/>
  <c r="BK36" i="54"/>
  <c r="AU36" i="54"/>
  <c r="AE36" i="54"/>
  <c r="W36" i="54"/>
  <c r="N36" i="54"/>
  <c r="F36" i="54"/>
  <c r="AM36" i="54" s="1"/>
  <c r="DX35" i="54"/>
  <c r="DH35" i="54"/>
  <c r="CR35" i="54"/>
  <c r="CB35" i="54"/>
  <c r="BT35" i="54"/>
  <c r="BK35" i="54"/>
  <c r="AU35" i="54"/>
  <c r="AE35" i="54"/>
  <c r="W35" i="54"/>
  <c r="N35" i="54"/>
  <c r="F35" i="54"/>
  <c r="DX34" i="54"/>
  <c r="DH34" i="54"/>
  <c r="CR34" i="54"/>
  <c r="CB34" i="54"/>
  <c r="BT34" i="54"/>
  <c r="BK34" i="54"/>
  <c r="AU34" i="54"/>
  <c r="AE34" i="54"/>
  <c r="W34" i="54"/>
  <c r="N34" i="54"/>
  <c r="F34" i="54"/>
  <c r="AM34" i="54" s="1"/>
  <c r="DX33" i="54"/>
  <c r="DH33" i="54"/>
  <c r="CR33" i="54"/>
  <c r="CB33" i="54"/>
  <c r="BT33" i="54"/>
  <c r="BK33" i="54"/>
  <c r="AU33" i="54"/>
  <c r="AE33" i="54"/>
  <c r="W33" i="54"/>
  <c r="N33" i="54"/>
  <c r="F33" i="54"/>
  <c r="AM33" i="54" s="1"/>
  <c r="DX32" i="54"/>
  <c r="DH32" i="54"/>
  <c r="CR32" i="54"/>
  <c r="CB32" i="54"/>
  <c r="BT32" i="54"/>
  <c r="BK32" i="54"/>
  <c r="AU32" i="54"/>
  <c r="AE32" i="54"/>
  <c r="W32" i="54"/>
  <c r="N32" i="54"/>
  <c r="F32" i="54"/>
  <c r="AM32" i="54" s="1"/>
  <c r="DX31" i="54"/>
  <c r="DH31" i="54"/>
  <c r="CR31" i="54"/>
  <c r="CB31" i="54"/>
  <c r="BT31" i="54"/>
  <c r="BK31" i="54"/>
  <c r="AU31" i="54"/>
  <c r="AE31" i="54"/>
  <c r="W31" i="54"/>
  <c r="N31" i="54"/>
  <c r="F31" i="54"/>
  <c r="AM31" i="54" s="1"/>
  <c r="DX30" i="54"/>
  <c r="DH30" i="54"/>
  <c r="CR30" i="54"/>
  <c r="CB30" i="54"/>
  <c r="BT30" i="54"/>
  <c r="BK30" i="54"/>
  <c r="AU30" i="54"/>
  <c r="AE30" i="54"/>
  <c r="W30" i="54"/>
  <c r="N30" i="54"/>
  <c r="F30" i="54"/>
  <c r="AM30" i="54" s="1"/>
  <c r="BC30" i="54" s="1"/>
  <c r="DX29" i="54"/>
  <c r="DH29" i="54"/>
  <c r="CR29" i="54"/>
  <c r="CB29" i="54"/>
  <c r="BT29" i="54"/>
  <c r="BK29" i="54"/>
  <c r="AU29" i="54"/>
  <c r="AE29" i="54"/>
  <c r="W29" i="54"/>
  <c r="N29" i="54"/>
  <c r="F29" i="54"/>
  <c r="AM29" i="54" s="1"/>
  <c r="DX28" i="54"/>
  <c r="DH28" i="54"/>
  <c r="CR28" i="54"/>
  <c r="CB28" i="54"/>
  <c r="BT28" i="54"/>
  <c r="BK28" i="54"/>
  <c r="AU28" i="54"/>
  <c r="AE28" i="54"/>
  <c r="W28" i="54"/>
  <c r="N28" i="54"/>
  <c r="F28" i="54"/>
  <c r="BT27" i="54"/>
  <c r="W27" i="54"/>
  <c r="F27" i="54"/>
  <c r="BT26" i="54"/>
  <c r="W26" i="54"/>
  <c r="F26" i="54"/>
  <c r="AM26" i="54" s="1"/>
  <c r="BT25" i="54"/>
  <c r="W25" i="54"/>
  <c r="F25" i="54"/>
  <c r="AM25" i="54" s="1"/>
  <c r="BT24" i="54"/>
  <c r="W24" i="54"/>
  <c r="F24" i="54"/>
  <c r="BT23" i="54"/>
  <c r="W23" i="54"/>
  <c r="F23" i="54"/>
  <c r="BT22" i="54"/>
  <c r="W22" i="54"/>
  <c r="F22" i="54"/>
  <c r="AM22" i="54" s="1"/>
  <c r="BT21" i="54"/>
  <c r="W21" i="54"/>
  <c r="F21" i="54"/>
  <c r="AM21" i="54" s="1"/>
  <c r="W20" i="54"/>
  <c r="F20" i="54"/>
  <c r="AM20" i="54" s="1"/>
  <c r="DY19" i="54"/>
  <c r="CJ19" i="54"/>
  <c r="AM19" i="54"/>
  <c r="F19" i="54"/>
  <c r="DY18" i="54"/>
  <c r="DI18" i="54"/>
  <c r="CR18" i="54"/>
  <c r="CB18" i="54"/>
  <c r="BL18" i="54"/>
  <c r="AU18" i="54"/>
  <c r="AE18" i="54"/>
  <c r="N18" i="54"/>
  <c r="DL12" i="54"/>
  <c r="DM12" i="54" s="1"/>
  <c r="DN12" i="54" s="1"/>
  <c r="DO12" i="54" s="1"/>
  <c r="DP12" i="54" s="1"/>
  <c r="DQ12" i="54" s="1"/>
  <c r="DR12" i="54" s="1"/>
  <c r="DS12" i="54" s="1"/>
  <c r="DT12" i="54" s="1"/>
  <c r="DU12" i="54" s="1"/>
  <c r="DV12" i="54" s="1"/>
  <c r="DW12" i="54" s="1"/>
  <c r="DX12" i="54" s="1"/>
  <c r="DY12" i="54" s="1"/>
  <c r="CV12" i="54"/>
  <c r="CW12" i="54" s="1"/>
  <c r="CX12" i="54" s="1"/>
  <c r="CY12" i="54" s="1"/>
  <c r="CZ12" i="54" s="1"/>
  <c r="DA12" i="54" s="1"/>
  <c r="DB12" i="54" s="1"/>
  <c r="DC12" i="54" s="1"/>
  <c r="DD12" i="54" s="1"/>
  <c r="DE12" i="54" s="1"/>
  <c r="DF12" i="54" s="1"/>
  <c r="DG12" i="54" s="1"/>
  <c r="DH12" i="54" s="1"/>
  <c r="DI12" i="54" s="1"/>
  <c r="CF12" i="54"/>
  <c r="CG12" i="54" s="1"/>
  <c r="CH12" i="54" s="1"/>
  <c r="CI12" i="54" s="1"/>
  <c r="CJ12" i="54" s="1"/>
  <c r="CK12" i="54" s="1"/>
  <c r="CL12" i="54" s="1"/>
  <c r="CM12" i="54" s="1"/>
  <c r="CN12" i="54" s="1"/>
  <c r="CO12" i="54" s="1"/>
  <c r="CP12" i="54" s="1"/>
  <c r="CQ12" i="54" s="1"/>
  <c r="CR12" i="54" s="1"/>
  <c r="CS12" i="54" s="1"/>
  <c r="BP12" i="54"/>
  <c r="BQ12" i="54" s="1"/>
  <c r="BR12" i="54" s="1"/>
  <c r="BS12" i="54" s="1"/>
  <c r="BT12" i="54" s="1"/>
  <c r="BU12" i="54" s="1"/>
  <c r="BV12" i="54" s="1"/>
  <c r="BW12" i="54" s="1"/>
  <c r="BX12" i="54" s="1"/>
  <c r="BY12" i="54" s="1"/>
  <c r="BZ12" i="54" s="1"/>
  <c r="CA12" i="54" s="1"/>
  <c r="CB12" i="54" s="1"/>
  <c r="CC12" i="54" s="1"/>
  <c r="AY12" i="54"/>
  <c r="AZ12" i="54" s="1"/>
  <c r="BA12" i="54" s="1"/>
  <c r="BB12" i="54" s="1"/>
  <c r="BC12" i="54" s="1"/>
  <c r="BD12" i="54" s="1"/>
  <c r="BE12" i="54" s="1"/>
  <c r="BF12" i="54" s="1"/>
  <c r="BG12" i="54" s="1"/>
  <c r="BH12" i="54" s="1"/>
  <c r="BI12" i="54" s="1"/>
  <c r="BJ12" i="54" s="1"/>
  <c r="BK12" i="54" s="1"/>
  <c r="BL12" i="54" s="1"/>
  <c r="AI12" i="54"/>
  <c r="AJ12" i="54" s="1"/>
  <c r="AK12" i="54" s="1"/>
  <c r="AL12" i="54" s="1"/>
  <c r="AM12" i="54" s="1"/>
  <c r="AN12" i="54" s="1"/>
  <c r="AO12" i="54" s="1"/>
  <c r="AP12" i="54" s="1"/>
  <c r="AQ12" i="54" s="1"/>
  <c r="AR12" i="54" s="1"/>
  <c r="AS12" i="54" s="1"/>
  <c r="AT12" i="54" s="1"/>
  <c r="AU12" i="54" s="1"/>
  <c r="AV12" i="54" s="1"/>
  <c r="S12" i="54"/>
  <c r="T12" i="54" s="1"/>
  <c r="U12" i="54" s="1"/>
  <c r="V12" i="54" s="1"/>
  <c r="W12" i="54" s="1"/>
  <c r="X12" i="54" s="1"/>
  <c r="Y12" i="54" s="1"/>
  <c r="Z12" i="54" s="1"/>
  <c r="AA12" i="54" s="1"/>
  <c r="AB12" i="54" s="1"/>
  <c r="AC12" i="54" s="1"/>
  <c r="AD12" i="54" s="1"/>
  <c r="AE12" i="54" s="1"/>
  <c r="AF12" i="54" s="1"/>
  <c r="B12" i="54"/>
  <c r="C12" i="54" s="1"/>
  <c r="D12" i="54" s="1"/>
  <c r="E12" i="54" s="1"/>
  <c r="F12" i="54" s="1"/>
  <c r="G12" i="54" s="1"/>
  <c r="H12" i="54" s="1"/>
  <c r="I12" i="54" s="1"/>
  <c r="J12" i="54" s="1"/>
  <c r="K12" i="54" s="1"/>
  <c r="L12" i="54" s="1"/>
  <c r="M12" i="54" s="1"/>
  <c r="N12" i="54" s="1"/>
  <c r="O12" i="54" s="1"/>
  <c r="C8" i="33"/>
  <c r="D8" i="33" s="1"/>
  <c r="E8" i="33" s="1"/>
  <c r="F8" i="33" s="1"/>
  <c r="G8" i="33" s="1"/>
  <c r="D26" i="53"/>
  <c r="E26" i="53" s="1"/>
  <c r="F26" i="53" s="1"/>
  <c r="G26" i="53" s="1"/>
  <c r="H26" i="53" s="1"/>
  <c r="I26" i="53" s="1"/>
  <c r="J26" i="53" s="1"/>
  <c r="K26" i="53" s="1"/>
  <c r="C32" i="53"/>
  <c r="C33" i="53" s="1"/>
  <c r="C34" i="53" s="1"/>
  <c r="C35" i="53" s="1"/>
  <c r="C36" i="53" s="1"/>
  <c r="C37" i="53" s="1"/>
  <c r="C38" i="53" s="1"/>
  <c r="C39" i="53" s="1"/>
  <c r="C40" i="53" s="1"/>
  <c r="C41" i="53" s="1"/>
  <c r="C42" i="53" s="1"/>
  <c r="C43" i="53" s="1"/>
  <c r="C44" i="53" s="1"/>
  <c r="C45" i="53" s="1"/>
  <c r="C46" i="53" s="1"/>
  <c r="C47" i="53" s="1"/>
  <c r="C48" i="53" s="1"/>
  <c r="C49" i="53" s="1"/>
  <c r="C50" i="53" s="1"/>
  <c r="K50" i="53"/>
  <c r="J50" i="53"/>
  <c r="E50" i="53"/>
  <c r="D50" i="53"/>
  <c r="I50" i="53"/>
  <c r="G50" i="53"/>
  <c r="K49" i="53"/>
  <c r="J49" i="53"/>
  <c r="E49" i="53"/>
  <c r="D49" i="53"/>
  <c r="I49" i="53"/>
  <c r="G49" i="53"/>
  <c r="K48" i="53"/>
  <c r="J48" i="53"/>
  <c r="E48" i="53"/>
  <c r="D48" i="53"/>
  <c r="I48" i="53"/>
  <c r="G48" i="53"/>
  <c r="K47" i="53"/>
  <c r="J47" i="53"/>
  <c r="E47" i="53"/>
  <c r="D47" i="53"/>
  <c r="I47" i="53"/>
  <c r="G47" i="53"/>
  <c r="K46" i="53"/>
  <c r="J46" i="53"/>
  <c r="E46" i="53"/>
  <c r="D46" i="53"/>
  <c r="I46" i="53"/>
  <c r="G46" i="53"/>
  <c r="K45" i="53"/>
  <c r="J45" i="53"/>
  <c r="E45" i="53"/>
  <c r="D45" i="53"/>
  <c r="I45" i="53"/>
  <c r="G45" i="53"/>
  <c r="K44" i="53"/>
  <c r="J44" i="53"/>
  <c r="E44" i="53"/>
  <c r="D44" i="53"/>
  <c r="I44" i="53"/>
  <c r="G44" i="53"/>
  <c r="K43" i="53"/>
  <c r="J43" i="53"/>
  <c r="E43" i="53"/>
  <c r="D43" i="53"/>
  <c r="I43" i="53"/>
  <c r="G43" i="53"/>
  <c r="K42" i="53"/>
  <c r="J42" i="53"/>
  <c r="E42" i="53"/>
  <c r="D42" i="53"/>
  <c r="I42" i="53"/>
  <c r="G42" i="53"/>
  <c r="K41" i="53"/>
  <c r="J41" i="53"/>
  <c r="E41" i="53"/>
  <c r="D41" i="53"/>
  <c r="I41" i="53"/>
  <c r="G41" i="53"/>
  <c r="K40" i="53"/>
  <c r="J40" i="53"/>
  <c r="E40" i="53"/>
  <c r="D40" i="53"/>
  <c r="I40" i="53"/>
  <c r="G40" i="53"/>
  <c r="K39" i="53"/>
  <c r="J39" i="53"/>
  <c r="E39" i="53"/>
  <c r="D39" i="53"/>
  <c r="I39" i="53"/>
  <c r="G39" i="53"/>
  <c r="K38" i="53"/>
  <c r="J38" i="53"/>
  <c r="E38" i="53"/>
  <c r="D38" i="53"/>
  <c r="I38" i="53"/>
  <c r="G38" i="53"/>
  <c r="K37" i="53"/>
  <c r="J37" i="53"/>
  <c r="E37" i="53"/>
  <c r="D37" i="53"/>
  <c r="I37" i="53"/>
  <c r="G37" i="53"/>
  <c r="K36" i="53"/>
  <c r="J36" i="53"/>
  <c r="E36" i="53"/>
  <c r="D36" i="53"/>
  <c r="I36" i="53"/>
  <c r="G36" i="53"/>
  <c r="K35" i="53"/>
  <c r="J35" i="53"/>
  <c r="E35" i="53"/>
  <c r="D35" i="53"/>
  <c r="I35" i="53"/>
  <c r="G35" i="53"/>
  <c r="K34" i="53"/>
  <c r="J34" i="53"/>
  <c r="E34" i="53"/>
  <c r="D34" i="53"/>
  <c r="I34" i="53"/>
  <c r="G34" i="53"/>
  <c r="K33" i="53"/>
  <c r="J33" i="53"/>
  <c r="E33" i="53"/>
  <c r="D33" i="53"/>
  <c r="I33" i="53"/>
  <c r="G33" i="53"/>
  <c r="K32" i="53"/>
  <c r="J32" i="53"/>
  <c r="E32" i="53"/>
  <c r="D32" i="53"/>
  <c r="I32" i="53"/>
  <c r="G32" i="53"/>
  <c r="K31" i="53"/>
  <c r="J31" i="53"/>
  <c r="E31" i="53"/>
  <c r="D31" i="53"/>
  <c r="I31" i="53"/>
  <c r="G31" i="53"/>
  <c r="B32" i="53"/>
  <c r="B33" i="53" s="1"/>
  <c r="B34" i="53" s="1"/>
  <c r="B35" i="53" s="1"/>
  <c r="B36" i="53" s="1"/>
  <c r="B37" i="53" s="1"/>
  <c r="B38" i="53" s="1"/>
  <c r="B39" i="53" s="1"/>
  <c r="B40" i="53" s="1"/>
  <c r="B41" i="53" s="1"/>
  <c r="B42" i="53" s="1"/>
  <c r="B43" i="53" s="1"/>
  <c r="B44" i="53" s="1"/>
  <c r="B45" i="53" s="1"/>
  <c r="B46" i="53" s="1"/>
  <c r="B47" i="53" s="1"/>
  <c r="B48" i="53" s="1"/>
  <c r="B49" i="53" s="1"/>
  <c r="B50" i="53" s="1"/>
  <c r="D17" i="53"/>
  <c r="BC36" i="54" l="1"/>
  <c r="BC99" i="54" s="1"/>
  <c r="EE69" i="54"/>
  <c r="BC29" i="54"/>
  <c r="BC92" i="54" s="1"/>
  <c r="BC22" i="54"/>
  <c r="CJ22" i="54" s="1"/>
  <c r="CJ85" i="54" s="1"/>
  <c r="BC26" i="54"/>
  <c r="CJ26" i="54" s="1"/>
  <c r="CJ89" i="54" s="1"/>
  <c r="BC21" i="54"/>
  <c r="BC32" i="54"/>
  <c r="BC95" i="54" s="1"/>
  <c r="AM24" i="54"/>
  <c r="AM87" i="54" s="1"/>
  <c r="AM23" i="54"/>
  <c r="BC23" i="54" s="1"/>
  <c r="AM27" i="54"/>
  <c r="AM90" i="54" s="1"/>
  <c r="BC20" i="54"/>
  <c r="BC83" i="54" s="1"/>
  <c r="CZ88" i="54"/>
  <c r="BC25" i="54"/>
  <c r="BC88" i="54" s="1"/>
  <c r="CJ30" i="54"/>
  <c r="BC31" i="54"/>
  <c r="BC94" i="54" s="1"/>
  <c r="BC37" i="54"/>
  <c r="BC100" i="54" s="1"/>
  <c r="AM28" i="54"/>
  <c r="AM91" i="54" s="1"/>
  <c r="AM83" i="54"/>
  <c r="BC34" i="54"/>
  <c r="BC97" i="54" s="1"/>
  <c r="DP89" i="54"/>
  <c r="BC33" i="54"/>
  <c r="BC96" i="54" s="1"/>
  <c r="AM35" i="54"/>
  <c r="AM98" i="54" s="1"/>
  <c r="F83" i="54"/>
  <c r="CJ82" i="54"/>
  <c r="DP88" i="54"/>
  <c r="F89" i="54"/>
  <c r="F82" i="54"/>
  <c r="DP87" i="54"/>
  <c r="F88" i="54"/>
  <c r="AM84" i="54"/>
  <c r="DP86" i="54"/>
  <c r="F87" i="54"/>
  <c r="DP85" i="54"/>
  <c r="F86" i="54"/>
  <c r="F90" i="54"/>
  <c r="DP94" i="54"/>
  <c r="AM82" i="54"/>
  <c r="F84" i="54"/>
  <c r="BC89" i="54"/>
  <c r="F85" i="54"/>
  <c r="AM85" i="54"/>
  <c r="AM88" i="54"/>
  <c r="AM89" i="54"/>
  <c r="AM92" i="54"/>
  <c r="AM93" i="54"/>
  <c r="CJ93" i="54"/>
  <c r="AM96" i="54"/>
  <c r="AM99" i="54"/>
  <c r="BC93" i="54"/>
  <c r="F98" i="54"/>
  <c r="F91" i="54"/>
  <c r="F92" i="54"/>
  <c r="F93" i="54"/>
  <c r="AM94" i="54"/>
  <c r="AM95" i="54"/>
  <c r="AM97" i="54"/>
  <c r="F94" i="54"/>
  <c r="F95" i="54"/>
  <c r="F96" i="54"/>
  <c r="F100" i="54"/>
  <c r="F99" i="54"/>
  <c r="F97" i="54"/>
  <c r="AM100" i="54"/>
  <c r="CJ36" i="54" l="1"/>
  <c r="CJ99" i="54" s="1"/>
  <c r="CJ29" i="54"/>
  <c r="CJ92" i="54" s="1"/>
  <c r="BC85" i="54"/>
  <c r="AM86" i="54"/>
  <c r="CJ23" i="54"/>
  <c r="BC86" i="54"/>
  <c r="BC28" i="54"/>
  <c r="CJ31" i="54"/>
  <c r="BC24" i="54"/>
  <c r="CJ34" i="54"/>
  <c r="CJ37" i="54"/>
  <c r="CJ32" i="54"/>
  <c r="CJ21" i="54"/>
  <c r="BC84" i="54"/>
  <c r="BC27" i="54"/>
  <c r="BC35" i="54"/>
  <c r="CJ25" i="54"/>
  <c r="CJ33" i="54"/>
  <c r="CJ20" i="54"/>
  <c r="CJ94" i="54" l="1"/>
  <c r="CJ27" i="54"/>
  <c r="BC90" i="54"/>
  <c r="CJ96" i="54"/>
  <c r="CJ28" i="54"/>
  <c r="BC91" i="54"/>
  <c r="CJ95" i="54"/>
  <c r="CJ97" i="54"/>
  <c r="CJ100" i="54"/>
  <c r="CJ84" i="54"/>
  <c r="CJ88" i="54"/>
  <c r="CJ35" i="54"/>
  <c r="BC98" i="54"/>
  <c r="CJ83" i="54"/>
  <c r="CJ24" i="54"/>
  <c r="BC87" i="54"/>
  <c r="CJ86" i="54"/>
  <c r="CJ91" i="54" l="1"/>
  <c r="CJ98" i="54"/>
  <c r="CJ90" i="54"/>
  <c r="CJ87" i="54"/>
  <c r="B21" i="13" l="1"/>
  <c r="B22" i="13" s="1"/>
  <c r="B23" i="13" s="1"/>
  <c r="B24" i="13" s="1"/>
  <c r="B25" i="13" s="1"/>
  <c r="B26" i="13" s="1"/>
  <c r="B27" i="13" s="1"/>
  <c r="B28" i="13" s="1"/>
  <c r="B29" i="13" s="1"/>
  <c r="B30" i="13" s="1"/>
  <c r="B31" i="13" s="1"/>
  <c r="B32" i="13" s="1"/>
  <c r="B33" i="13" s="1"/>
  <c r="B34" i="13" s="1"/>
  <c r="B35" i="13" s="1"/>
  <c r="B36" i="13" s="1"/>
  <c r="B37" i="13" s="1"/>
  <c r="B38" i="13" s="1"/>
  <c r="B39" i="13" s="1"/>
  <c r="B10" i="17" l="1"/>
  <c r="A13" i="33"/>
  <c r="A14" i="33" s="1"/>
  <c r="A15" i="33" s="1"/>
  <c r="A16" i="33" s="1"/>
  <c r="A17" i="33" s="1"/>
  <c r="A18" i="33" s="1"/>
  <c r="A19" i="33" s="1"/>
  <c r="A20" i="33" s="1"/>
  <c r="A21" i="33" s="1"/>
  <c r="A22" i="33" s="1"/>
  <c r="A23" i="33" s="1"/>
  <c r="A24" i="33" s="1"/>
  <c r="A25" i="33" s="1"/>
  <c r="A26" i="33" s="1"/>
  <c r="A27" i="33" s="1"/>
  <c r="A28" i="33" s="1"/>
  <c r="A29" i="33" s="1"/>
  <c r="A30" i="33" s="1"/>
  <c r="A31" i="33" s="1"/>
  <c r="D14" i="20" l="1"/>
  <c r="D15" i="20"/>
  <c r="E15" i="20" s="1"/>
  <c r="E31" i="20" s="1"/>
  <c r="D16" i="20"/>
  <c r="E16" i="20" s="1"/>
  <c r="D17" i="20"/>
  <c r="D22" i="20"/>
  <c r="B16" i="46"/>
  <c r="B47" i="46" s="1"/>
  <c r="E66" i="46"/>
  <c r="E65" i="46"/>
  <c r="E64" i="46"/>
  <c r="E63" i="46"/>
  <c r="E62" i="46"/>
  <c r="E61" i="46"/>
  <c r="E60" i="46"/>
  <c r="E59" i="46"/>
  <c r="E58" i="46"/>
  <c r="E57" i="46"/>
  <c r="E56" i="46"/>
  <c r="E55" i="46"/>
  <c r="E54" i="46"/>
  <c r="E53" i="46"/>
  <c r="E52" i="46"/>
  <c r="E51" i="46"/>
  <c r="E50" i="46"/>
  <c r="E49" i="46"/>
  <c r="E48" i="46"/>
  <c r="E47" i="46"/>
  <c r="E35" i="46"/>
  <c r="E34" i="46"/>
  <c r="E33" i="46"/>
  <c r="E32" i="46"/>
  <c r="E31" i="46"/>
  <c r="E30" i="46"/>
  <c r="E29" i="46"/>
  <c r="E28" i="46"/>
  <c r="E27" i="46"/>
  <c r="E26" i="46"/>
  <c r="E25" i="46"/>
  <c r="E24" i="46"/>
  <c r="E23" i="46"/>
  <c r="E22" i="46"/>
  <c r="E21" i="46"/>
  <c r="E20" i="46"/>
  <c r="E19" i="46"/>
  <c r="E18" i="46"/>
  <c r="E17" i="46"/>
  <c r="E16" i="46"/>
  <c r="DG98" i="54" l="1"/>
  <c r="M96" i="54"/>
  <c r="BJ93" i="54"/>
  <c r="DG90" i="54"/>
  <c r="M88" i="54"/>
  <c r="BJ85" i="54"/>
  <c r="DG82" i="54"/>
  <c r="CQ98" i="54"/>
  <c r="DW95" i="54"/>
  <c r="AT93" i="54"/>
  <c r="CQ90" i="54"/>
  <c r="DW87" i="54"/>
  <c r="AT85" i="54"/>
  <c r="CQ82" i="54"/>
  <c r="BJ98" i="54"/>
  <c r="DG95" i="54"/>
  <c r="M93" i="54"/>
  <c r="BJ90" i="54"/>
  <c r="DG87" i="54"/>
  <c r="M85" i="54"/>
  <c r="BJ82" i="54"/>
  <c r="DW100" i="54"/>
  <c r="AT98" i="54"/>
  <c r="CQ95" i="54"/>
  <c r="DW92" i="54"/>
  <c r="AT90" i="54"/>
  <c r="CQ87" i="54"/>
  <c r="DW84" i="54"/>
  <c r="AT82" i="54"/>
  <c r="AT81" i="54"/>
  <c r="DG100" i="54"/>
  <c r="M98" i="54"/>
  <c r="BJ95" i="54"/>
  <c r="DG92" i="54"/>
  <c r="M90" i="54"/>
  <c r="BJ87" i="54"/>
  <c r="DG84" i="54"/>
  <c r="M82" i="54"/>
  <c r="M81" i="54"/>
  <c r="CQ100" i="54"/>
  <c r="DW97" i="54"/>
  <c r="AT95" i="54"/>
  <c r="CQ92" i="54"/>
  <c r="DW89" i="54"/>
  <c r="AT87" i="54"/>
  <c r="CQ84" i="54"/>
  <c r="DW81" i="54"/>
  <c r="DW80" i="54"/>
  <c r="BJ100" i="54"/>
  <c r="DG97" i="54"/>
  <c r="M95" i="54"/>
  <c r="BJ92" i="54"/>
  <c r="DG89" i="54"/>
  <c r="M87" i="54"/>
  <c r="BJ84" i="54"/>
  <c r="DG81" i="54"/>
  <c r="DG80" i="54"/>
  <c r="AT100" i="54"/>
  <c r="CQ97" i="54"/>
  <c r="DW94" i="54"/>
  <c r="AT92" i="54"/>
  <c r="CQ89" i="54"/>
  <c r="DW86" i="54"/>
  <c r="AT84" i="54"/>
  <c r="CQ80" i="54"/>
  <c r="M100" i="54"/>
  <c r="BJ97" i="54"/>
  <c r="DG94" i="54"/>
  <c r="M92" i="54"/>
  <c r="BJ89" i="54"/>
  <c r="DG86" i="54"/>
  <c r="M84" i="54"/>
  <c r="BJ80" i="54"/>
  <c r="DW99" i="54"/>
  <c r="AT97" i="54"/>
  <c r="CQ94" i="54"/>
  <c r="DW91" i="54"/>
  <c r="AT89" i="54"/>
  <c r="CQ86" i="54"/>
  <c r="DW83" i="54"/>
  <c r="AT80" i="54"/>
  <c r="DG99" i="54"/>
  <c r="M97" i="54"/>
  <c r="BJ94" i="54"/>
  <c r="DG91" i="54"/>
  <c r="M89" i="54"/>
  <c r="BJ86" i="54"/>
  <c r="DG83" i="54"/>
  <c r="M80" i="54"/>
  <c r="CQ99" i="54"/>
  <c r="DW96" i="54"/>
  <c r="AT94" i="54"/>
  <c r="CQ91" i="54"/>
  <c r="DW88" i="54"/>
  <c r="AT86" i="54"/>
  <c r="CQ83" i="54"/>
  <c r="BJ99" i="54"/>
  <c r="DG96" i="54"/>
  <c r="M94" i="54"/>
  <c r="BJ91" i="54"/>
  <c r="DG88" i="54"/>
  <c r="M86" i="54"/>
  <c r="BJ83" i="54"/>
  <c r="CQ81" i="54"/>
  <c r="AT99" i="54"/>
  <c r="CQ96" i="54"/>
  <c r="DW93" i="54"/>
  <c r="AT91" i="54"/>
  <c r="CQ88" i="54"/>
  <c r="DW85" i="54"/>
  <c r="AT83" i="54"/>
  <c r="BJ81" i="54"/>
  <c r="M99" i="54"/>
  <c r="BJ96" i="54"/>
  <c r="DG93" i="54"/>
  <c r="M91" i="54"/>
  <c r="BJ88" i="54"/>
  <c r="DG85" i="54"/>
  <c r="M83" i="54"/>
  <c r="DW98" i="54"/>
  <c r="AT96" i="54"/>
  <c r="CQ93" i="54"/>
  <c r="DW90" i="54"/>
  <c r="AT88" i="54"/>
  <c r="CQ85" i="54"/>
  <c r="DW82" i="54"/>
  <c r="E14" i="20"/>
  <c r="E30" i="20" s="1"/>
  <c r="E26" i="20"/>
  <c r="E29" i="20" s="1"/>
  <c r="E32" i="20" l="1"/>
  <c r="E33" i="20" s="1"/>
  <c r="E35" i="20" s="1"/>
  <c r="E37" i="20" s="1"/>
  <c r="E34" i="20" l="1"/>
  <c r="E36" i="20" s="1"/>
  <c r="E39" i="20" s="1"/>
  <c r="F47" i="46" l="1"/>
  <c r="D47" i="46" s="1"/>
  <c r="F16" i="46"/>
  <c r="B17" i="46"/>
  <c r="B48" i="46"/>
  <c r="B18" i="46" l="1"/>
  <c r="F17" i="46"/>
  <c r="B49" i="46"/>
  <c r="F48" i="46"/>
  <c r="F49" i="46" l="1"/>
  <c r="B50" i="46"/>
  <c r="B19" i="46"/>
  <c r="F18" i="46"/>
  <c r="A20" i="44"/>
  <c r="A21" i="44" s="1"/>
  <c r="C14" i="45"/>
  <c r="C13" i="45"/>
  <c r="A13" i="45"/>
  <c r="A14" i="45" s="1"/>
  <c r="A16" i="43"/>
  <c r="A17" i="43" s="1"/>
  <c r="F19" i="46" l="1"/>
  <c r="B20" i="46"/>
  <c r="F50" i="46"/>
  <c r="B51" i="46"/>
  <c r="B52" i="46" l="1"/>
  <c r="F51" i="46"/>
  <c r="B21" i="46"/>
  <c r="F20" i="46"/>
  <c r="D11" i="33"/>
  <c r="E49" i="54" l="1"/>
  <c r="V49" i="54"/>
  <c r="AL49" i="54"/>
  <c r="CI49" i="54"/>
  <c r="BS49" i="54"/>
  <c r="D19" i="58" s="1"/>
  <c r="BS18" i="54"/>
  <c r="AL18" i="54"/>
  <c r="CI18" i="54"/>
  <c r="E18" i="54"/>
  <c r="V18" i="54"/>
  <c r="B12" i="33"/>
  <c r="F21" i="46"/>
  <c r="B22" i="46"/>
  <c r="B53" i="46"/>
  <c r="F52" i="46"/>
  <c r="G11" i="33"/>
  <c r="CI81" i="54" l="1"/>
  <c r="AL81" i="54"/>
  <c r="CF49" i="54"/>
  <c r="BP49" i="54"/>
  <c r="AI49" i="54"/>
  <c r="S49" i="54"/>
  <c r="B49" i="54"/>
  <c r="S18" i="54"/>
  <c r="B18" i="54"/>
  <c r="AI18" i="54"/>
  <c r="CF18" i="54"/>
  <c r="BP18" i="54"/>
  <c r="E81" i="54"/>
  <c r="C12" i="33"/>
  <c r="E12" i="33"/>
  <c r="E19" i="44" s="1"/>
  <c r="I12" i="45" s="1"/>
  <c r="F53" i="46"/>
  <c r="B54" i="46"/>
  <c r="F22" i="46"/>
  <c r="B23" i="46"/>
  <c r="W18" i="54" l="1"/>
  <c r="BT49" i="54"/>
  <c r="E19" i="58" s="1"/>
  <c r="CJ18" i="54"/>
  <c r="BT18" i="54"/>
  <c r="AM18" i="54"/>
  <c r="F49" i="54"/>
  <c r="D49" i="54" s="1"/>
  <c r="F18" i="54"/>
  <c r="W49" i="54"/>
  <c r="U49" i="54" s="1"/>
  <c r="CJ49" i="54"/>
  <c r="AM49" i="54"/>
  <c r="F12" i="33"/>
  <c r="D12" i="33"/>
  <c r="F23" i="46"/>
  <c r="B24" i="46"/>
  <c r="F54" i="46"/>
  <c r="B55" i="46"/>
  <c r="B12" i="45"/>
  <c r="B19" i="44"/>
  <c r="BR49" i="54" l="1"/>
  <c r="G19" i="58"/>
  <c r="K19" i="58"/>
  <c r="J19" i="44" s="1"/>
  <c r="V50" i="54"/>
  <c r="BS50" i="54"/>
  <c r="D20" i="58" s="1"/>
  <c r="DO19" i="54"/>
  <c r="M49" i="54"/>
  <c r="O49" i="54" s="1"/>
  <c r="AD49" i="54"/>
  <c r="AF49" i="54" s="1"/>
  <c r="CQ49" i="54"/>
  <c r="CS49" i="54" s="1"/>
  <c r="CA49" i="54"/>
  <c r="CC49" i="54" s="1"/>
  <c r="AT49" i="54"/>
  <c r="AV49" i="54" s="1"/>
  <c r="CA18" i="54"/>
  <c r="CC18" i="54" s="1"/>
  <c r="F19" i="58" s="1"/>
  <c r="AT18" i="54"/>
  <c r="AV18" i="54" s="1"/>
  <c r="AD18" i="54"/>
  <c r="AF18" i="54" s="1"/>
  <c r="M18" i="54"/>
  <c r="O18" i="54" s="1"/>
  <c r="CQ18" i="54"/>
  <c r="CS18" i="54" s="1"/>
  <c r="CJ81" i="54"/>
  <c r="CH49" i="54"/>
  <c r="AM81" i="54"/>
  <c r="AK49" i="54"/>
  <c r="F81" i="54"/>
  <c r="B13" i="33"/>
  <c r="E13" i="33" s="1"/>
  <c r="E20" i="44" s="1"/>
  <c r="I13" i="45" s="1"/>
  <c r="G12" i="33"/>
  <c r="F24" i="46"/>
  <c r="B25" i="46"/>
  <c r="F55" i="46"/>
  <c r="B56" i="46"/>
  <c r="BI49" i="54" l="1"/>
  <c r="DF49" i="54"/>
  <c r="DV49" i="54"/>
  <c r="C13" i="33"/>
  <c r="F13" i="33" s="1"/>
  <c r="B57" i="46"/>
  <c r="F56" i="46"/>
  <c r="B26" i="46"/>
  <c r="F25" i="46"/>
  <c r="AD50" i="54" l="1"/>
  <c r="M50" i="54"/>
  <c r="CA50" i="54"/>
  <c r="M19" i="54"/>
  <c r="CA19" i="54"/>
  <c r="AD19" i="54"/>
  <c r="G13" i="33"/>
  <c r="D13" i="33"/>
  <c r="B27" i="46"/>
  <c r="F26" i="46"/>
  <c r="B58" i="46"/>
  <c r="F57" i="46"/>
  <c r="K57" i="1"/>
  <c r="H32" i="53" s="1"/>
  <c r="K58" i="1"/>
  <c r="H33" i="53" s="1"/>
  <c r="K59" i="1"/>
  <c r="H34" i="53" s="1"/>
  <c r="K60" i="1"/>
  <c r="H35" i="53" s="1"/>
  <c r="K61" i="1"/>
  <c r="H36" i="53" s="1"/>
  <c r="K62" i="1"/>
  <c r="H37" i="53" s="1"/>
  <c r="K63" i="1"/>
  <c r="H38" i="53" s="1"/>
  <c r="K64" i="1"/>
  <c r="H39" i="53" s="1"/>
  <c r="K65" i="1"/>
  <c r="H40" i="53" s="1"/>
  <c r="K66" i="1"/>
  <c r="H41" i="53" s="1"/>
  <c r="K67" i="1"/>
  <c r="H42" i="53" s="1"/>
  <c r="K68" i="1"/>
  <c r="H43" i="53" s="1"/>
  <c r="K69" i="1"/>
  <c r="H44" i="53" s="1"/>
  <c r="K70" i="1"/>
  <c r="H45" i="53" s="1"/>
  <c r="K71" i="1"/>
  <c r="H46" i="53" s="1"/>
  <c r="K72" i="1"/>
  <c r="H47" i="53" s="1"/>
  <c r="K73" i="1"/>
  <c r="H48" i="53" s="1"/>
  <c r="K74" i="1"/>
  <c r="H49" i="53" s="1"/>
  <c r="K75" i="1"/>
  <c r="H50" i="53" s="1"/>
  <c r="K56" i="1"/>
  <c r="H31" i="53" l="1"/>
  <c r="CH18" i="54"/>
  <c r="BR18" i="54"/>
  <c r="BQ18" i="54" s="1"/>
  <c r="BU18" i="54" s="1"/>
  <c r="AK18" i="54"/>
  <c r="U18" i="54"/>
  <c r="T18" i="54" s="1"/>
  <c r="X18" i="54" s="1"/>
  <c r="D18" i="54"/>
  <c r="BS51" i="54"/>
  <c r="D21" i="58" s="1"/>
  <c r="V51" i="54"/>
  <c r="B14" i="33"/>
  <c r="E14" i="33" s="1"/>
  <c r="E21" i="44" s="1"/>
  <c r="I14" i="45" s="1"/>
  <c r="D16" i="46"/>
  <c r="C16" i="46" s="1"/>
  <c r="G16" i="46" s="1"/>
  <c r="F58" i="46"/>
  <c r="B59" i="46"/>
  <c r="F27" i="46"/>
  <c r="B28" i="46"/>
  <c r="C18" i="54" l="1"/>
  <c r="G18" i="54" s="1"/>
  <c r="D81" i="54"/>
  <c r="L80" i="54" s="1"/>
  <c r="AJ18" i="54"/>
  <c r="AN18" i="54" s="1"/>
  <c r="AO18" i="54" s="1"/>
  <c r="AP18" i="54" s="1"/>
  <c r="AQ18" i="54" s="1"/>
  <c r="AR18" i="54" s="1"/>
  <c r="AK81" i="54"/>
  <c r="BS19" i="54"/>
  <c r="BV18" i="54"/>
  <c r="BW18" i="54" s="1"/>
  <c r="BX18" i="54" s="1"/>
  <c r="BY18" i="54" s="1"/>
  <c r="Y18" i="54"/>
  <c r="Z18" i="54" s="1"/>
  <c r="AA18" i="54" s="1"/>
  <c r="AB18" i="54" s="1"/>
  <c r="V19" i="54"/>
  <c r="CG18" i="54"/>
  <c r="CK18" i="54" s="1"/>
  <c r="CH81" i="54"/>
  <c r="C14" i="33"/>
  <c r="F14" i="33" s="1"/>
  <c r="D17" i="46"/>
  <c r="C17" i="46" s="1"/>
  <c r="G17" i="46" s="1"/>
  <c r="D18" i="46" s="1"/>
  <c r="B60" i="46"/>
  <c r="F59" i="46"/>
  <c r="F28" i="46"/>
  <c r="B29" i="46"/>
  <c r="AS18" i="54" l="1"/>
  <c r="E19" i="54"/>
  <c r="H18" i="54"/>
  <c r="I18" i="54" s="1"/>
  <c r="BZ18" i="54"/>
  <c r="AC18" i="54"/>
  <c r="CL18" i="54"/>
  <c r="CM18" i="54" s="1"/>
  <c r="CN18" i="54" s="1"/>
  <c r="CO18" i="54" s="1"/>
  <c r="M51" i="54"/>
  <c r="AD51" i="54"/>
  <c r="M20" i="54"/>
  <c r="CA20" i="54"/>
  <c r="AD20" i="54"/>
  <c r="CA51" i="54"/>
  <c r="G14" i="33"/>
  <c r="D14" i="33"/>
  <c r="F29" i="46"/>
  <c r="B30" i="46"/>
  <c r="B61" i="46"/>
  <c r="F60" i="46"/>
  <c r="C18" i="46"/>
  <c r="G18" i="46" s="1"/>
  <c r="D19" i="46" s="1"/>
  <c r="CP18" i="54" l="1"/>
  <c r="CD18" i="54"/>
  <c r="J18" i="54"/>
  <c r="K18" i="54" s="1"/>
  <c r="BS52" i="54"/>
  <c r="V52" i="54"/>
  <c r="B15" i="33"/>
  <c r="F61" i="46"/>
  <c r="B62" i="46"/>
  <c r="F30" i="46"/>
  <c r="B31" i="46"/>
  <c r="D19" i="54" l="1"/>
  <c r="C19" i="54" s="1"/>
  <c r="G19" i="54" s="1"/>
  <c r="L18" i="54"/>
  <c r="E15" i="33"/>
  <c r="C15" i="33"/>
  <c r="F31" i="46"/>
  <c r="B32" i="46"/>
  <c r="F62" i="46"/>
  <c r="B63" i="46"/>
  <c r="C19" i="46"/>
  <c r="G19" i="46" s="1"/>
  <c r="D20" i="46" s="1"/>
  <c r="E20" i="54" l="1"/>
  <c r="H19" i="54"/>
  <c r="I19" i="54" s="1"/>
  <c r="J19" i="54" s="1"/>
  <c r="K19" i="54" s="1"/>
  <c r="F15" i="33"/>
  <c r="D15" i="33"/>
  <c r="F32" i="46"/>
  <c r="B33" i="46"/>
  <c r="B64" i="46"/>
  <c r="F63" i="46"/>
  <c r="L19" i="54" l="1"/>
  <c r="D20" i="54"/>
  <c r="C20" i="54" s="1"/>
  <c r="G20" i="54" s="1"/>
  <c r="BS53" i="54"/>
  <c r="V53" i="54"/>
  <c r="CA52" i="54"/>
  <c r="AD52" i="54"/>
  <c r="M52" i="54"/>
  <c r="M21" i="54"/>
  <c r="CA21" i="54"/>
  <c r="AD21" i="54"/>
  <c r="G15" i="33"/>
  <c r="B16" i="33"/>
  <c r="F33" i="46"/>
  <c r="B34" i="46"/>
  <c r="B65" i="46"/>
  <c r="F64" i="46"/>
  <c r="C20" i="46"/>
  <c r="G20" i="46" s="1"/>
  <c r="D21" i="46" s="1"/>
  <c r="H20" i="54" l="1"/>
  <c r="I20" i="54" s="1"/>
  <c r="J20" i="54" s="1"/>
  <c r="K20" i="54" s="1"/>
  <c r="E21" i="54"/>
  <c r="E16" i="33"/>
  <c r="C16" i="33"/>
  <c r="F16" i="33" s="1"/>
  <c r="B66" i="46"/>
  <c r="F66" i="46" s="1"/>
  <c r="F65" i="46"/>
  <c r="B35" i="46"/>
  <c r="F35" i="46" s="1"/>
  <c r="F34" i="46"/>
  <c r="D21" i="54" l="1"/>
  <c r="C21" i="54" s="1"/>
  <c r="G21" i="54" s="1"/>
  <c r="L20" i="54"/>
  <c r="CA53" i="54"/>
  <c r="AD53" i="54"/>
  <c r="M53" i="54"/>
  <c r="M22" i="54"/>
  <c r="CA22" i="54"/>
  <c r="AD22" i="54"/>
  <c r="G16" i="33"/>
  <c r="D16" i="33"/>
  <c r="C21" i="46"/>
  <c r="G21" i="46" s="1"/>
  <c r="D22" i="46" s="1"/>
  <c r="H21" i="54" l="1"/>
  <c r="I21" i="54" s="1"/>
  <c r="J21" i="54" s="1"/>
  <c r="K21" i="54" s="1"/>
  <c r="E22" i="54"/>
  <c r="V54" i="54"/>
  <c r="BS54" i="54"/>
  <c r="B17" i="33"/>
  <c r="C17" i="33" s="1"/>
  <c r="F17" i="33" s="1"/>
  <c r="C22" i="46"/>
  <c r="G22" i="46" s="1"/>
  <c r="D23" i="46" s="1"/>
  <c r="L21" i="54" l="1"/>
  <c r="D22" i="54"/>
  <c r="C22" i="54" s="1"/>
  <c r="G22" i="54" s="1"/>
  <c r="AD54" i="54"/>
  <c r="CA54" i="54"/>
  <c r="M54" i="54"/>
  <c r="CA23" i="54"/>
  <c r="M23" i="54"/>
  <c r="AD23" i="54"/>
  <c r="E17" i="33"/>
  <c r="G17" i="33" s="1"/>
  <c r="D17" i="33"/>
  <c r="H22" i="54" l="1"/>
  <c r="I22" i="54" s="1"/>
  <c r="J22" i="54" s="1"/>
  <c r="K22" i="54" s="1"/>
  <c r="L22" i="54" s="1"/>
  <c r="E23" i="54"/>
  <c r="V55" i="54"/>
  <c r="BS55" i="54"/>
  <c r="B18" i="33"/>
  <c r="E18" i="33" s="1"/>
  <c r="C23" i="46"/>
  <c r="G23" i="46" s="1"/>
  <c r="D24" i="46" s="1"/>
  <c r="D23" i="54" l="1"/>
  <c r="C23" i="54" s="1"/>
  <c r="G23" i="54" s="1"/>
  <c r="C18" i="33"/>
  <c r="F18" i="33" s="1"/>
  <c r="E24" i="54" l="1"/>
  <c r="H23" i="54"/>
  <c r="I23" i="54" s="1"/>
  <c r="J23" i="54" s="1"/>
  <c r="K23" i="54" s="1"/>
  <c r="AD55" i="54"/>
  <c r="M55" i="54"/>
  <c r="CA55" i="54"/>
  <c r="AD24" i="54"/>
  <c r="CA24" i="54"/>
  <c r="M24" i="54"/>
  <c r="D18" i="33"/>
  <c r="G18" i="33"/>
  <c r="C24" i="46"/>
  <c r="G24" i="46" s="1"/>
  <c r="D25" i="46" s="1"/>
  <c r="L23" i="54" l="1"/>
  <c r="D24" i="54"/>
  <c r="V56" i="54"/>
  <c r="BS56" i="54"/>
  <c r="B19" i="33"/>
  <c r="E19" i="33" s="1"/>
  <c r="C19" i="33" l="1"/>
  <c r="F19" i="33" s="1"/>
  <c r="M56" i="54" s="1"/>
  <c r="C24" i="54"/>
  <c r="G24" i="54" s="1"/>
  <c r="AD25" i="54"/>
  <c r="D19" i="33"/>
  <c r="G19" i="33"/>
  <c r="C25" i="46"/>
  <c r="G25" i="46" s="1"/>
  <c r="D26" i="46" s="1"/>
  <c r="CA25" i="54" l="1"/>
  <c r="CA56" i="54"/>
  <c r="AD56" i="54"/>
  <c r="M25" i="54"/>
  <c r="H24" i="54"/>
  <c r="I24" i="54" s="1"/>
  <c r="J24" i="54" s="1"/>
  <c r="K24" i="54" s="1"/>
  <c r="E25" i="54"/>
  <c r="V57" i="54"/>
  <c r="BS57" i="54"/>
  <c r="B20" i="33"/>
  <c r="C20" i="33" s="1"/>
  <c r="F20" i="33" s="1"/>
  <c r="E20" i="33" l="1"/>
  <c r="AD57" i="54"/>
  <c r="M57" i="54"/>
  <c r="CA57" i="54"/>
  <c r="AD26" i="54"/>
  <c r="CA26" i="54"/>
  <c r="M26" i="54"/>
  <c r="L24" i="54"/>
  <c r="D25" i="54"/>
  <c r="D20" i="33"/>
  <c r="G20" i="33"/>
  <c r="C26" i="46"/>
  <c r="G26" i="46" s="1"/>
  <c r="D27" i="46" s="1"/>
  <c r="C25" i="54" l="1"/>
  <c r="G25" i="54" s="1"/>
  <c r="V58" i="54"/>
  <c r="BS58" i="54"/>
  <c r="B21" i="33"/>
  <c r="E21" i="33" s="1"/>
  <c r="H25" i="54" l="1"/>
  <c r="I25" i="54" s="1"/>
  <c r="J25" i="54" s="1"/>
  <c r="K25" i="54" s="1"/>
  <c r="E26" i="54"/>
  <c r="C21" i="33"/>
  <c r="C27" i="46"/>
  <c r="G27" i="46" s="1"/>
  <c r="D28" i="46" s="1"/>
  <c r="L25" i="54" l="1"/>
  <c r="D26" i="54"/>
  <c r="F21" i="33"/>
  <c r="D21" i="33"/>
  <c r="C26" i="54" l="1"/>
  <c r="G26" i="54" s="1"/>
  <c r="V59" i="54"/>
  <c r="BS59" i="54"/>
  <c r="M58" i="54"/>
  <c r="AD58" i="54"/>
  <c r="CA58" i="54"/>
  <c r="M27" i="54"/>
  <c r="AD27" i="54"/>
  <c r="CA27" i="54"/>
  <c r="B22" i="33"/>
  <c r="E22" i="33" s="1"/>
  <c r="G21" i="33"/>
  <c r="C28" i="46"/>
  <c r="G28" i="46" s="1"/>
  <c r="D29" i="46" s="1"/>
  <c r="C22" i="33" l="1"/>
  <c r="D22" i="33" s="1"/>
  <c r="H26" i="54"/>
  <c r="I26" i="54" s="1"/>
  <c r="J26" i="54" s="1"/>
  <c r="K26" i="54" s="1"/>
  <c r="E27" i="54"/>
  <c r="V60" i="54"/>
  <c r="BS60" i="54"/>
  <c r="F22" i="33"/>
  <c r="G22" i="33" s="1"/>
  <c r="B23" i="33"/>
  <c r="E23" i="33" s="1"/>
  <c r="L26" i="54" l="1"/>
  <c r="D27" i="54"/>
  <c r="M59" i="54"/>
  <c r="O59" i="54" s="1"/>
  <c r="AD59" i="54"/>
  <c r="AF59" i="54" s="1"/>
  <c r="CA59" i="54"/>
  <c r="CC59" i="54" s="1"/>
  <c r="AD28" i="54"/>
  <c r="AF28" i="54" s="1"/>
  <c r="CA28" i="54"/>
  <c r="CC28" i="54" s="1"/>
  <c r="M28" i="54"/>
  <c r="O28" i="54" s="1"/>
  <c r="C23" i="33"/>
  <c r="F23" i="33" s="1"/>
  <c r="C29" i="46"/>
  <c r="G29" i="46" s="1"/>
  <c r="D30" i="46" s="1"/>
  <c r="C27" i="54" l="1"/>
  <c r="G27" i="54" s="1"/>
  <c r="M60" i="54"/>
  <c r="O60" i="54" s="1"/>
  <c r="AD60" i="54"/>
  <c r="AF60" i="54" s="1"/>
  <c r="CA60" i="54"/>
  <c r="CC60" i="54" s="1"/>
  <c r="CA29" i="54"/>
  <c r="CC29" i="54" s="1"/>
  <c r="M29" i="54"/>
  <c r="O29" i="54" s="1"/>
  <c r="AD29" i="54"/>
  <c r="AF29" i="54" s="1"/>
  <c r="D23" i="33"/>
  <c r="G23" i="33"/>
  <c r="H27" i="54" l="1"/>
  <c r="I27" i="54" s="1"/>
  <c r="J27" i="54" s="1"/>
  <c r="K27" i="54" s="1"/>
  <c r="E28" i="54"/>
  <c r="V61" i="54"/>
  <c r="BS61" i="54"/>
  <c r="B24" i="33"/>
  <c r="C30" i="46"/>
  <c r="G30" i="46" s="1"/>
  <c r="D31" i="46" s="1"/>
  <c r="L27" i="54" l="1"/>
  <c r="D28" i="54"/>
  <c r="E24" i="33"/>
  <c r="C24" i="33"/>
  <c r="F24" i="33" s="1"/>
  <c r="C28" i="54" l="1"/>
  <c r="G28" i="54" s="1"/>
  <c r="CA61" i="54"/>
  <c r="CC61" i="54" s="1"/>
  <c r="M61" i="54"/>
  <c r="O61" i="54" s="1"/>
  <c r="AD61" i="54"/>
  <c r="AF61" i="54" s="1"/>
  <c r="CA30" i="54"/>
  <c r="CC30" i="54" s="1"/>
  <c r="M30" i="54"/>
  <c r="O30" i="54" s="1"/>
  <c r="AD30" i="54"/>
  <c r="AF30" i="54" s="1"/>
  <c r="D24" i="33"/>
  <c r="B25" i="33" s="1"/>
  <c r="G24" i="33"/>
  <c r="C31" i="46"/>
  <c r="G31" i="46" s="1"/>
  <c r="D32" i="46" s="1"/>
  <c r="H28" i="54" l="1"/>
  <c r="I28" i="54" s="1"/>
  <c r="J28" i="54" s="1"/>
  <c r="K28" i="54" s="1"/>
  <c r="E29" i="54"/>
  <c r="V62" i="54"/>
  <c r="BS62" i="54"/>
  <c r="E25" i="33"/>
  <c r="C25" i="33"/>
  <c r="L28" i="54" l="1"/>
  <c r="D29" i="54"/>
  <c r="F25" i="33"/>
  <c r="D25" i="33"/>
  <c r="C32" i="46"/>
  <c r="G32" i="46" s="1"/>
  <c r="D33" i="46" s="1"/>
  <c r="C29" i="54" l="1"/>
  <c r="G29" i="54" s="1"/>
  <c r="BS63" i="54"/>
  <c r="V63" i="54"/>
  <c r="M62" i="54"/>
  <c r="O62" i="54" s="1"/>
  <c r="AD62" i="54"/>
  <c r="AF62" i="54" s="1"/>
  <c r="CA62" i="54"/>
  <c r="CC62" i="54" s="1"/>
  <c r="M31" i="54"/>
  <c r="O31" i="54" s="1"/>
  <c r="AD31" i="54"/>
  <c r="AF31" i="54" s="1"/>
  <c r="CA31" i="54"/>
  <c r="CC31" i="54" s="1"/>
  <c r="B26" i="33"/>
  <c r="E26" i="33" s="1"/>
  <c r="G25" i="33"/>
  <c r="H29" i="54" l="1"/>
  <c r="I29" i="54" s="1"/>
  <c r="J29" i="54" s="1"/>
  <c r="K29" i="54" s="1"/>
  <c r="E30" i="54"/>
  <c r="C26" i="33"/>
  <c r="C33" i="46"/>
  <c r="G33" i="46" s="1"/>
  <c r="D34" i="46" s="1"/>
  <c r="L29" i="54" l="1"/>
  <c r="D30" i="54"/>
  <c r="F26" i="33"/>
  <c r="D26" i="33"/>
  <c r="C30" i="54" l="1"/>
  <c r="G30" i="54" s="1"/>
  <c r="BS64" i="54"/>
  <c r="V64" i="54"/>
  <c r="CA63" i="54"/>
  <c r="CC63" i="54" s="1"/>
  <c r="AD63" i="54"/>
  <c r="AF63" i="54" s="1"/>
  <c r="M63" i="54"/>
  <c r="O63" i="54" s="1"/>
  <c r="AD32" i="54"/>
  <c r="AF32" i="54" s="1"/>
  <c r="CA32" i="54"/>
  <c r="CC32" i="54" s="1"/>
  <c r="M32" i="54"/>
  <c r="O32" i="54" s="1"/>
  <c r="B27" i="33"/>
  <c r="E27" i="33" s="1"/>
  <c r="G26" i="33"/>
  <c r="C34" i="46"/>
  <c r="G34" i="46" s="1"/>
  <c r="D35" i="46" s="1"/>
  <c r="C27" i="33" l="1"/>
  <c r="F27" i="33" s="1"/>
  <c r="AD64" i="54" s="1"/>
  <c r="AF64" i="54" s="1"/>
  <c r="H30" i="54"/>
  <c r="I30" i="54" s="1"/>
  <c r="J30" i="54" s="1"/>
  <c r="K30" i="54" s="1"/>
  <c r="E31" i="54"/>
  <c r="M33" i="54"/>
  <c r="O33" i="54" s="1"/>
  <c r="CA33" i="54"/>
  <c r="CC33" i="54" s="1"/>
  <c r="AD33" i="54"/>
  <c r="AF33" i="54" s="1"/>
  <c r="D27" i="33"/>
  <c r="G27" i="33"/>
  <c r="M64" i="54" l="1"/>
  <c r="O64" i="54" s="1"/>
  <c r="CA64" i="54"/>
  <c r="CC64" i="54" s="1"/>
  <c r="L30" i="54"/>
  <c r="D31" i="54"/>
  <c r="BS65" i="54"/>
  <c r="V65" i="54"/>
  <c r="B28" i="33"/>
  <c r="E28" i="33" s="1"/>
  <c r="C35" i="46"/>
  <c r="G35" i="46" s="1"/>
  <c r="C31" i="54" l="1"/>
  <c r="G31" i="54" s="1"/>
  <c r="C28" i="33"/>
  <c r="F28" i="33" s="1"/>
  <c r="D28" i="33" l="1"/>
  <c r="H31" i="54"/>
  <c r="I31" i="54" s="1"/>
  <c r="E32" i="54"/>
  <c r="CA65" i="54"/>
  <c r="CC65" i="54" s="1"/>
  <c r="M65" i="54"/>
  <c r="O65" i="54" s="1"/>
  <c r="AD65" i="54"/>
  <c r="AF65" i="54" s="1"/>
  <c r="M34" i="54"/>
  <c r="O34" i="54" s="1"/>
  <c r="CA34" i="54"/>
  <c r="CC34" i="54" s="1"/>
  <c r="AD34" i="54"/>
  <c r="AF34" i="54" s="1"/>
  <c r="BS66" i="54"/>
  <c r="V66" i="54"/>
  <c r="J31" i="54"/>
  <c r="K31" i="54" s="1"/>
  <c r="B29" i="33"/>
  <c r="C29" i="33" s="1"/>
  <c r="F29" i="33" s="1"/>
  <c r="G28" i="33"/>
  <c r="L31" i="54" l="1"/>
  <c r="D32" i="54"/>
  <c r="CA66" i="54"/>
  <c r="CC66" i="54" s="1"/>
  <c r="AD66" i="54"/>
  <c r="AF66" i="54" s="1"/>
  <c r="M66" i="54"/>
  <c r="O66" i="54" s="1"/>
  <c r="CA35" i="54"/>
  <c r="CC35" i="54" s="1"/>
  <c r="AD35" i="54"/>
  <c r="AF35" i="54" s="1"/>
  <c r="M35" i="54"/>
  <c r="O35" i="54" s="1"/>
  <c r="E29" i="33"/>
  <c r="G29" i="33" s="1"/>
  <c r="D29" i="33"/>
  <c r="C32" i="54" l="1"/>
  <c r="G32" i="54" s="1"/>
  <c r="BS67" i="54"/>
  <c r="V67" i="54"/>
  <c r="B30" i="33"/>
  <c r="E33" i="54" l="1"/>
  <c r="H32" i="54"/>
  <c r="I32" i="54" s="1"/>
  <c r="J32" i="54" s="1"/>
  <c r="K32" i="54" s="1"/>
  <c r="E30" i="33"/>
  <c r="C30" i="33"/>
  <c r="F30" i="33" s="1"/>
  <c r="G30" i="33" l="1"/>
  <c r="L32" i="54"/>
  <c r="D33" i="54"/>
  <c r="CA67" i="54"/>
  <c r="CC67" i="54" s="1"/>
  <c r="AD67" i="54"/>
  <c r="AF67" i="54" s="1"/>
  <c r="M67" i="54"/>
  <c r="O67" i="54" s="1"/>
  <c r="AD36" i="54"/>
  <c r="AF36" i="54" s="1"/>
  <c r="CA36" i="54"/>
  <c r="CC36" i="54" s="1"/>
  <c r="M36" i="54"/>
  <c r="O36" i="54" s="1"/>
  <c r="D30" i="33"/>
  <c r="C33" i="54" l="1"/>
  <c r="G33" i="54" s="1"/>
  <c r="BS68" i="54"/>
  <c r="V68" i="54"/>
  <c r="B31" i="33"/>
  <c r="E31" i="33" s="1"/>
  <c r="H33" i="54" l="1"/>
  <c r="I33" i="54" s="1"/>
  <c r="J33" i="54" s="1"/>
  <c r="K33" i="54" s="1"/>
  <c r="E34" i="54"/>
  <c r="C31" i="33"/>
  <c r="F31" i="33" s="1"/>
  <c r="G31" i="33" s="1"/>
  <c r="D31" i="33" l="1"/>
  <c r="L33" i="54"/>
  <c r="D34" i="54"/>
  <c r="CA68" i="54"/>
  <c r="CC68" i="54" s="1"/>
  <c r="AD68" i="54"/>
  <c r="AF68" i="54" s="1"/>
  <c r="M68" i="54"/>
  <c r="O68" i="54" s="1"/>
  <c r="M37" i="54"/>
  <c r="O37" i="54" s="1"/>
  <c r="CA37" i="54"/>
  <c r="CC37" i="54" s="1"/>
  <c r="AD37" i="54"/>
  <c r="AF37" i="54" s="1"/>
  <c r="C34" i="54" l="1"/>
  <c r="G34" i="54" s="1"/>
  <c r="E35" i="54" l="1"/>
  <c r="H34" i="54"/>
  <c r="I34" i="54" s="1"/>
  <c r="J34" i="54" s="1"/>
  <c r="K34" i="54" s="1"/>
  <c r="L34" i="54" l="1"/>
  <c r="D35" i="54"/>
  <c r="C35" i="54" l="1"/>
  <c r="G35" i="54" s="1"/>
  <c r="E36" i="54" l="1"/>
  <c r="H35" i="54"/>
  <c r="I35" i="54" s="1"/>
  <c r="J35" i="54" s="1"/>
  <c r="K35" i="54" s="1"/>
  <c r="L35" i="54" l="1"/>
  <c r="D36" i="54"/>
  <c r="C36" i="54" l="1"/>
  <c r="G36" i="54" s="1"/>
  <c r="H36" i="54" l="1"/>
  <c r="I36" i="54" s="1"/>
  <c r="E37" i="54"/>
  <c r="J36" i="54"/>
  <c r="K36" i="54" s="1"/>
  <c r="L36" i="54" l="1"/>
  <c r="D37" i="54"/>
  <c r="C37" i="54" l="1"/>
  <c r="G37" i="54" s="1"/>
  <c r="H37" i="54" s="1"/>
  <c r="I37" i="54" s="1"/>
  <c r="J37" i="54" l="1"/>
  <c r="K37" i="54" s="1"/>
  <c r="L37" i="54" s="1"/>
  <c r="D26" i="20" l="1"/>
  <c r="D29" i="20" l="1"/>
  <c r="D31" i="20"/>
  <c r="D30" i="20" l="1"/>
  <c r="D32" i="20" s="1"/>
  <c r="D33" i="20" s="1"/>
  <c r="D35" i="20" s="1"/>
  <c r="D37" i="20" s="1"/>
  <c r="D34" i="20" l="1"/>
  <c r="D36" i="20" l="1"/>
  <c r="D39" i="20" s="1"/>
  <c r="D40" i="20" l="1"/>
  <c r="D44" i="20" s="1"/>
  <c r="D41" i="20" l="1"/>
  <c r="D45" i="20" l="1"/>
  <c r="DM49" i="54" l="1"/>
  <c r="AZ49" i="54"/>
  <c r="CW49" i="54"/>
  <c r="T49" i="54"/>
  <c r="X49" i="54" s="1"/>
  <c r="Y49" i="54" s="1"/>
  <c r="Z49" i="54" s="1"/>
  <c r="AA49" i="54" s="1"/>
  <c r="AB49" i="54" s="1"/>
  <c r="C49" i="54"/>
  <c r="G49" i="54" s="1"/>
  <c r="BQ49" i="54"/>
  <c r="AJ49" i="54"/>
  <c r="AN49" i="54" s="1"/>
  <c r="CG49" i="54"/>
  <c r="CK49" i="54" s="1"/>
  <c r="C47" i="46"/>
  <c r="CL49" i="54" l="1"/>
  <c r="CL81" i="54" s="1"/>
  <c r="AG49" i="54"/>
  <c r="AO49" i="54"/>
  <c r="AO81" i="54" s="1"/>
  <c r="H19" i="58"/>
  <c r="BU49" i="54"/>
  <c r="E50" i="54"/>
  <c r="E82" i="54" s="1"/>
  <c r="H49" i="54"/>
  <c r="H81" i="54" s="1"/>
  <c r="AC49" i="54"/>
  <c r="H12" i="45"/>
  <c r="C19" i="58" s="1"/>
  <c r="G47" i="46"/>
  <c r="D48" i="46" s="1"/>
  <c r="CM49" i="54" l="1"/>
  <c r="CN49" i="54" s="1"/>
  <c r="CN81" i="54" s="1"/>
  <c r="I49" i="54"/>
  <c r="J49" i="54" s="1"/>
  <c r="J81" i="54" s="1"/>
  <c r="AP49" i="54"/>
  <c r="AQ49" i="54" s="1"/>
  <c r="AQ81" i="54" s="1"/>
  <c r="BV49" i="54"/>
  <c r="I19" i="58" s="1"/>
  <c r="D19" i="44"/>
  <c r="AR49" i="54" l="1"/>
  <c r="CO49" i="54"/>
  <c r="BW49" i="54"/>
  <c r="BX49" i="54" s="1"/>
  <c r="BY49" i="54" s="1"/>
  <c r="BZ49" i="54" s="1"/>
  <c r="K49" i="54"/>
  <c r="CD49" i="54"/>
  <c r="CP49" i="54"/>
  <c r="AS49" i="54"/>
  <c r="C48" i="46"/>
  <c r="F19" i="44" l="1"/>
  <c r="E11" i="55"/>
  <c r="G19" i="44" s="1"/>
  <c r="L49" i="54"/>
  <c r="D50" i="54"/>
  <c r="D82" i="54" s="1"/>
  <c r="L81" i="54" s="1"/>
  <c r="H13" i="45"/>
  <c r="G48" i="46"/>
  <c r="D49" i="46" s="1"/>
  <c r="C50" i="54" l="1"/>
  <c r="G50" i="54" s="1"/>
  <c r="C20" i="58"/>
  <c r="D20" i="44" s="1"/>
  <c r="E51" i="54" l="1"/>
  <c r="E83" i="54" s="1"/>
  <c r="H50" i="54"/>
  <c r="H82" i="54" s="1"/>
  <c r="C49" i="46"/>
  <c r="I50" i="54" l="1"/>
  <c r="H14" i="45"/>
  <c r="G49" i="46"/>
  <c r="D50" i="46" s="1"/>
  <c r="J50" i="54" l="1"/>
  <c r="J82" i="54" s="1"/>
  <c r="C21" i="58"/>
  <c r="D21" i="44" s="1"/>
  <c r="K50" i="54" l="1"/>
  <c r="L50" i="54" s="1"/>
  <c r="C50" i="46"/>
  <c r="G50" i="46" s="1"/>
  <c r="D51" i="46" s="1"/>
  <c r="D51" i="54" l="1"/>
  <c r="D83" i="54" s="1"/>
  <c r="L82" i="54" s="1"/>
  <c r="C51" i="46"/>
  <c r="G51" i="46" s="1"/>
  <c r="D52" i="46" s="1"/>
  <c r="C51" i="54" l="1"/>
  <c r="G51" i="54" s="1"/>
  <c r="E52" i="54" s="1"/>
  <c r="E84" i="54" s="1"/>
  <c r="C52" i="46"/>
  <c r="G52" i="46" s="1"/>
  <c r="D53" i="46" s="1"/>
  <c r="H51" i="54" l="1"/>
  <c r="H83" i="54" s="1"/>
  <c r="C53" i="46"/>
  <c r="G53" i="46" s="1"/>
  <c r="D54" i="46" s="1"/>
  <c r="I51" i="54" l="1"/>
  <c r="J51" i="54" s="1"/>
  <c r="J83" i="54" s="1"/>
  <c r="C54" i="46"/>
  <c r="G54" i="46" s="1"/>
  <c r="D55" i="46" s="1"/>
  <c r="K51" i="54" l="1"/>
  <c r="L51" i="54" s="1"/>
  <c r="D52" i="54"/>
  <c r="D84" i="54" s="1"/>
  <c r="L83" i="54" s="1"/>
  <c r="C55" i="46"/>
  <c r="G55" i="46" s="1"/>
  <c r="D56" i="46" s="1"/>
  <c r="C52" i="54" l="1"/>
  <c r="G52" i="54" s="1"/>
  <c r="E53" i="54" s="1"/>
  <c r="E85" i="54" s="1"/>
  <c r="C56" i="46"/>
  <c r="G56" i="46" s="1"/>
  <c r="D57" i="46" s="1"/>
  <c r="H52" i="54" l="1"/>
  <c r="H84" i="54" s="1"/>
  <c r="I52" i="54"/>
  <c r="J52" i="54" s="1"/>
  <c r="J84" i="54" s="1"/>
  <c r="C57" i="46"/>
  <c r="G57" i="46" s="1"/>
  <c r="D58" i="46" s="1"/>
  <c r="K52" i="54" l="1"/>
  <c r="C58" i="46"/>
  <c r="G58" i="46" s="1"/>
  <c r="D59" i="46" s="1"/>
  <c r="D53" i="54" l="1"/>
  <c r="L52" i="54"/>
  <c r="C59" i="46"/>
  <c r="G59" i="46" s="1"/>
  <c r="D60" i="46" s="1"/>
  <c r="D85" i="54" l="1"/>
  <c r="L84" i="54" s="1"/>
  <c r="C53" i="54"/>
  <c r="G53" i="54" s="1"/>
  <c r="C60" i="46"/>
  <c r="G60" i="46" s="1"/>
  <c r="D61" i="46" s="1"/>
  <c r="H53" i="54" l="1"/>
  <c r="H85" i="54" s="1"/>
  <c r="I53" i="54"/>
  <c r="E54" i="54"/>
  <c r="E86" i="54" s="1"/>
  <c r="C61" i="46"/>
  <c r="G61" i="46" s="1"/>
  <c r="D62" i="46" s="1"/>
  <c r="J53" i="54" l="1"/>
  <c r="J85" i="54" s="1"/>
  <c r="C62" i="46"/>
  <c r="G62" i="46" s="1"/>
  <c r="D63" i="46" s="1"/>
  <c r="K53" i="54" l="1"/>
  <c r="D54" i="54"/>
  <c r="L53" i="54"/>
  <c r="C63" i="46"/>
  <c r="G63" i="46" s="1"/>
  <c r="D64" i="46" s="1"/>
  <c r="D86" i="54" l="1"/>
  <c r="L85" i="54" s="1"/>
  <c r="C54" i="54"/>
  <c r="G54" i="54" s="1"/>
  <c r="C64" i="46"/>
  <c r="G64" i="46" s="1"/>
  <c r="D65" i="46" s="1"/>
  <c r="E55" i="54" l="1"/>
  <c r="E87" i="54" s="1"/>
  <c r="H54" i="54"/>
  <c r="H86" i="54" s="1"/>
  <c r="I54" i="54"/>
  <c r="J54" i="54" s="1"/>
  <c r="J86" i="54" s="1"/>
  <c r="C65" i="46"/>
  <c r="G65" i="46" s="1"/>
  <c r="D66" i="46" s="1"/>
  <c r="K54" i="54" l="1"/>
  <c r="C66" i="46"/>
  <c r="G66" i="46" s="1"/>
  <c r="L54" i="54" l="1"/>
  <c r="D55" i="54"/>
  <c r="D87" i="54" s="1"/>
  <c r="L86" i="54" s="1"/>
  <c r="J20" i="13"/>
  <c r="C77" i="13"/>
  <c r="C78" i="13"/>
  <c r="C79" i="13"/>
  <c r="C80" i="13"/>
  <c r="C81" i="13"/>
  <c r="C82" i="13"/>
  <c r="C83" i="13"/>
  <c r="C84" i="13"/>
  <c r="C85" i="13"/>
  <c r="C86" i="13"/>
  <c r="C87" i="13"/>
  <c r="C88" i="13"/>
  <c r="C89" i="13"/>
  <c r="C90" i="13"/>
  <c r="C91" i="13"/>
  <c r="C92" i="13"/>
  <c r="C93" i="13"/>
  <c r="C94" i="13"/>
  <c r="C95" i="13"/>
  <c r="C76" i="13"/>
  <c r="C8" i="15"/>
  <c r="D8" i="15" s="1"/>
  <c r="E8" i="15" s="1"/>
  <c r="F8" i="15" s="1"/>
  <c r="G8" i="15" s="1"/>
  <c r="H8" i="15" s="1"/>
  <c r="I8" i="15" s="1"/>
  <c r="J8" i="15" s="1"/>
  <c r="C101" i="13"/>
  <c r="D101" i="13" s="1"/>
  <c r="E101" i="13" s="1"/>
  <c r="F101" i="13" s="1"/>
  <c r="G101" i="13" s="1"/>
  <c r="H101" i="13" s="1"/>
  <c r="I101" i="13" s="1"/>
  <c r="J101" i="13" s="1"/>
  <c r="K101" i="13" s="1"/>
  <c r="L101" i="13" s="1"/>
  <c r="M101" i="13" s="1"/>
  <c r="C73" i="13"/>
  <c r="D73" i="13" s="1"/>
  <c r="E73" i="13" s="1"/>
  <c r="F73" i="13" s="1"/>
  <c r="G73" i="13" s="1"/>
  <c r="H73" i="13" s="1"/>
  <c r="I73" i="13" s="1"/>
  <c r="J73" i="13" s="1"/>
  <c r="K73" i="13" s="1"/>
  <c r="L73" i="13" s="1"/>
  <c r="C47" i="13"/>
  <c r="D47" i="13" s="1"/>
  <c r="E47" i="13" s="1"/>
  <c r="F47" i="13" s="1"/>
  <c r="G47" i="13" s="1"/>
  <c r="H47" i="13" s="1"/>
  <c r="J39" i="13"/>
  <c r="I39" i="13"/>
  <c r="H39" i="13"/>
  <c r="G39" i="13"/>
  <c r="F39" i="13"/>
  <c r="E39" i="13"/>
  <c r="E30" i="15" s="1"/>
  <c r="D39" i="13"/>
  <c r="J38" i="13"/>
  <c r="I38" i="13"/>
  <c r="H38" i="13"/>
  <c r="G38" i="13"/>
  <c r="F38" i="13"/>
  <c r="E38" i="13"/>
  <c r="E29" i="15" s="1"/>
  <c r="D38" i="13"/>
  <c r="J37" i="13"/>
  <c r="I37" i="13"/>
  <c r="H37" i="13"/>
  <c r="G37" i="13"/>
  <c r="F37" i="13"/>
  <c r="E37" i="13"/>
  <c r="E28" i="15" s="1"/>
  <c r="D37" i="13"/>
  <c r="J36" i="13"/>
  <c r="I36" i="13"/>
  <c r="H36" i="13"/>
  <c r="G36" i="13"/>
  <c r="F36" i="13"/>
  <c r="E36" i="13"/>
  <c r="E27" i="15" s="1"/>
  <c r="D36" i="13"/>
  <c r="J35" i="13"/>
  <c r="I35" i="13"/>
  <c r="H35" i="13"/>
  <c r="G35" i="13"/>
  <c r="F35" i="13"/>
  <c r="E35" i="13"/>
  <c r="E26" i="15" s="1"/>
  <c r="D35" i="13"/>
  <c r="J34" i="13"/>
  <c r="I34" i="13"/>
  <c r="H34" i="13"/>
  <c r="G34" i="13"/>
  <c r="F34" i="13"/>
  <c r="E34" i="13"/>
  <c r="E25" i="15" s="1"/>
  <c r="D34" i="13"/>
  <c r="J33" i="13"/>
  <c r="I33" i="13"/>
  <c r="H33" i="13"/>
  <c r="G33" i="13"/>
  <c r="F33" i="13"/>
  <c r="E33" i="13"/>
  <c r="E24" i="15" s="1"/>
  <c r="D33" i="13"/>
  <c r="J32" i="13"/>
  <c r="I32" i="13"/>
  <c r="H32" i="13"/>
  <c r="G32" i="13"/>
  <c r="F32" i="13"/>
  <c r="E32" i="13"/>
  <c r="E23" i="15" s="1"/>
  <c r="D32" i="13"/>
  <c r="J31" i="13"/>
  <c r="I31" i="13"/>
  <c r="H31" i="13"/>
  <c r="G31" i="13"/>
  <c r="F31" i="13"/>
  <c r="E31" i="13"/>
  <c r="E22" i="15" s="1"/>
  <c r="D31" i="13"/>
  <c r="J30" i="13"/>
  <c r="I30" i="13"/>
  <c r="H30" i="13"/>
  <c r="G30" i="13"/>
  <c r="F30" i="13"/>
  <c r="E30" i="13"/>
  <c r="E21" i="15" s="1"/>
  <c r="D30" i="13"/>
  <c r="J29" i="13"/>
  <c r="I29" i="13"/>
  <c r="H29" i="13"/>
  <c r="G29" i="13"/>
  <c r="F29" i="13"/>
  <c r="E29" i="13"/>
  <c r="E20" i="15" s="1"/>
  <c r="D29" i="13"/>
  <c r="J28" i="13"/>
  <c r="I28" i="13"/>
  <c r="H28" i="13"/>
  <c r="G28" i="13"/>
  <c r="F28" i="13"/>
  <c r="E28" i="13"/>
  <c r="E19" i="15" s="1"/>
  <c r="D28" i="13"/>
  <c r="J27" i="13"/>
  <c r="I27" i="13"/>
  <c r="H27" i="13"/>
  <c r="G27" i="13"/>
  <c r="F27" i="13"/>
  <c r="E27" i="13"/>
  <c r="E18" i="15" s="1"/>
  <c r="D27" i="13"/>
  <c r="J26" i="13"/>
  <c r="I26" i="13"/>
  <c r="H26" i="13"/>
  <c r="G26" i="13"/>
  <c r="F26" i="13"/>
  <c r="E26" i="13"/>
  <c r="E17" i="15" s="1"/>
  <c r="D26" i="13"/>
  <c r="J25" i="13"/>
  <c r="I25" i="13"/>
  <c r="H25" i="13"/>
  <c r="G25" i="13"/>
  <c r="F25" i="13"/>
  <c r="E25" i="13"/>
  <c r="E16" i="15" s="1"/>
  <c r="D25" i="13"/>
  <c r="J24" i="13"/>
  <c r="I24" i="13"/>
  <c r="H24" i="13"/>
  <c r="G24" i="13"/>
  <c r="F24" i="13"/>
  <c r="E24" i="13"/>
  <c r="E15" i="15" s="1"/>
  <c r="D24" i="13"/>
  <c r="J23" i="13"/>
  <c r="I23" i="13"/>
  <c r="H23" i="13"/>
  <c r="G23" i="13"/>
  <c r="F23" i="13"/>
  <c r="E23" i="13"/>
  <c r="E14" i="15" s="1"/>
  <c r="D23" i="13"/>
  <c r="J22" i="13"/>
  <c r="I22" i="13"/>
  <c r="H22" i="13"/>
  <c r="G22" i="13"/>
  <c r="F22" i="13"/>
  <c r="E22" i="13"/>
  <c r="E13" i="15" s="1"/>
  <c r="D22" i="13"/>
  <c r="J21" i="13"/>
  <c r="I21" i="13"/>
  <c r="H21" i="13"/>
  <c r="G21" i="13"/>
  <c r="F21" i="13"/>
  <c r="E21" i="13"/>
  <c r="E12" i="15" s="1"/>
  <c r="D21" i="13"/>
  <c r="I20" i="13"/>
  <c r="H20" i="13"/>
  <c r="G20" i="13"/>
  <c r="F20" i="13"/>
  <c r="E20" i="13"/>
  <c r="E11" i="15" s="1"/>
  <c r="D20" i="13"/>
  <c r="C18" i="13"/>
  <c r="D18" i="13" s="1"/>
  <c r="E18" i="13" s="1"/>
  <c r="F18" i="13" s="1"/>
  <c r="G18" i="13" s="1"/>
  <c r="H18" i="13" s="1"/>
  <c r="I18" i="13" s="1"/>
  <c r="J18" i="13" s="1"/>
  <c r="C12" i="13"/>
  <c r="C11" i="13"/>
  <c r="C10" i="13"/>
  <c r="C55" i="54" l="1"/>
  <c r="G55" i="54" s="1"/>
  <c r="B8" i="8"/>
  <c r="C8" i="11"/>
  <c r="D8" i="11" s="1"/>
  <c r="E8" i="11" s="1"/>
  <c r="F8" i="11" s="1"/>
  <c r="G8" i="11" s="1"/>
  <c r="H8" i="11" s="1"/>
  <c r="I8" i="11" s="1"/>
  <c r="C8" i="8" l="1"/>
  <c r="D8" i="8" s="1"/>
  <c r="E8" i="8" s="1"/>
  <c r="F8" i="8" s="1"/>
  <c r="G8" i="8" s="1"/>
  <c r="H55" i="54"/>
  <c r="H87" i="54" s="1"/>
  <c r="E56" i="54"/>
  <c r="E88" i="54" s="1"/>
  <c r="G24" i="17"/>
  <c r="F24" i="17"/>
  <c r="E24" i="17"/>
  <c r="D24" i="17"/>
  <c r="G23" i="17"/>
  <c r="F23" i="17"/>
  <c r="E23" i="17"/>
  <c r="D23" i="17"/>
  <c r="G22" i="17"/>
  <c r="F22" i="17"/>
  <c r="E22" i="17"/>
  <c r="D22" i="17"/>
  <c r="G21" i="17"/>
  <c r="F21" i="17"/>
  <c r="E21" i="17"/>
  <c r="D21" i="17"/>
  <c r="G20" i="17"/>
  <c r="F20" i="17"/>
  <c r="E20" i="17"/>
  <c r="D20" i="17"/>
  <c r="G19" i="17"/>
  <c r="F19" i="17"/>
  <c r="E19" i="17"/>
  <c r="D19" i="17"/>
  <c r="G18" i="17"/>
  <c r="F18" i="17"/>
  <c r="E18" i="17"/>
  <c r="D18" i="17"/>
  <c r="G17" i="17"/>
  <c r="F17" i="17"/>
  <c r="E17" i="17"/>
  <c r="D17" i="17"/>
  <c r="G16" i="17"/>
  <c r="F16" i="17"/>
  <c r="E16" i="17"/>
  <c r="D16" i="17"/>
  <c r="B16" i="17"/>
  <c r="G15" i="17"/>
  <c r="F15" i="17"/>
  <c r="E15" i="17"/>
  <c r="D15" i="17"/>
  <c r="C15" i="17"/>
  <c r="I55" i="54" l="1"/>
  <c r="J55" i="54" s="1"/>
  <c r="J87" i="54" s="1"/>
  <c r="H15" i="17"/>
  <c r="I15" i="17" s="1"/>
  <c r="B17" i="17"/>
  <c r="B12" i="15"/>
  <c r="B13" i="15" s="1"/>
  <c r="B14" i="15" s="1"/>
  <c r="B15" i="15" s="1"/>
  <c r="B16" i="15" s="1"/>
  <c r="B17" i="15" s="1"/>
  <c r="B18" i="15" s="1"/>
  <c r="B19" i="15" s="1"/>
  <c r="B20" i="15" s="1"/>
  <c r="B21" i="15" s="1"/>
  <c r="B22" i="15" s="1"/>
  <c r="B23" i="15" s="1"/>
  <c r="B24" i="15" s="1"/>
  <c r="B25" i="15" s="1"/>
  <c r="B26" i="15" s="1"/>
  <c r="B27" i="15" s="1"/>
  <c r="B28" i="15" s="1"/>
  <c r="B29" i="15" s="1"/>
  <c r="B30" i="15" s="1"/>
  <c r="K55" i="54" l="1"/>
  <c r="J15" i="17"/>
  <c r="K15" i="17" s="1"/>
  <c r="B18" i="17"/>
  <c r="D56" i="54" l="1"/>
  <c r="D88" i="54" s="1"/>
  <c r="L87" i="54" s="1"/>
  <c r="L55" i="54"/>
  <c r="B19" i="17"/>
  <c r="B105" i="13"/>
  <c r="B106" i="13" s="1"/>
  <c r="B107" i="13" s="1"/>
  <c r="B108" i="13" s="1"/>
  <c r="B109" i="13" s="1"/>
  <c r="B110" i="13" s="1"/>
  <c r="B111" i="13" s="1"/>
  <c r="B112" i="13" s="1"/>
  <c r="B113" i="13" s="1"/>
  <c r="B114" i="13" s="1"/>
  <c r="B115" i="13" s="1"/>
  <c r="B116" i="13" s="1"/>
  <c r="B117" i="13" s="1"/>
  <c r="B118" i="13" s="1"/>
  <c r="B119" i="13" s="1"/>
  <c r="B120" i="13" s="1"/>
  <c r="B121" i="13" s="1"/>
  <c r="B122" i="13" s="1"/>
  <c r="B123" i="13" s="1"/>
  <c r="D77" i="13"/>
  <c r="E77" i="13"/>
  <c r="F77" i="13"/>
  <c r="G77" i="13"/>
  <c r="D78" i="13"/>
  <c r="E78" i="13"/>
  <c r="F78" i="13"/>
  <c r="G78" i="13"/>
  <c r="D79" i="13"/>
  <c r="E79" i="13"/>
  <c r="F79" i="13"/>
  <c r="G79" i="13"/>
  <c r="D80" i="13"/>
  <c r="E80" i="13"/>
  <c r="F80" i="13"/>
  <c r="G80" i="13"/>
  <c r="D81" i="13"/>
  <c r="E81" i="13"/>
  <c r="F81" i="13"/>
  <c r="G81" i="13"/>
  <c r="D82" i="13"/>
  <c r="E82" i="13"/>
  <c r="F82" i="13"/>
  <c r="G82" i="13"/>
  <c r="D83" i="13"/>
  <c r="E83" i="13"/>
  <c r="F83" i="13"/>
  <c r="G83" i="13"/>
  <c r="D84" i="13"/>
  <c r="E84" i="13"/>
  <c r="F84" i="13"/>
  <c r="G84" i="13"/>
  <c r="D85" i="13"/>
  <c r="E85" i="13"/>
  <c r="F85" i="13"/>
  <c r="G85" i="13"/>
  <c r="D86" i="13"/>
  <c r="E86" i="13"/>
  <c r="F86" i="13"/>
  <c r="G86" i="13"/>
  <c r="D87" i="13"/>
  <c r="E87" i="13"/>
  <c r="F87" i="13"/>
  <c r="G87" i="13"/>
  <c r="D88" i="13"/>
  <c r="E88" i="13"/>
  <c r="F88" i="13"/>
  <c r="G88" i="13"/>
  <c r="D89" i="13"/>
  <c r="E89" i="13"/>
  <c r="F89" i="13"/>
  <c r="G89" i="13"/>
  <c r="D90" i="13"/>
  <c r="E90" i="13"/>
  <c r="F90" i="13"/>
  <c r="G90" i="13"/>
  <c r="D91" i="13"/>
  <c r="E91" i="13"/>
  <c r="F91" i="13"/>
  <c r="G91" i="13"/>
  <c r="D92" i="13"/>
  <c r="E92" i="13"/>
  <c r="F92" i="13"/>
  <c r="G92" i="13"/>
  <c r="D93" i="13"/>
  <c r="E93" i="13"/>
  <c r="F93" i="13"/>
  <c r="G93" i="13"/>
  <c r="D94" i="13"/>
  <c r="E94" i="13"/>
  <c r="F94" i="13"/>
  <c r="G94" i="13"/>
  <c r="D95" i="13"/>
  <c r="E95" i="13"/>
  <c r="F95" i="13"/>
  <c r="G95" i="13"/>
  <c r="G76" i="13"/>
  <c r="F76" i="13"/>
  <c r="E76" i="13"/>
  <c r="D76" i="13"/>
  <c r="B77" i="13"/>
  <c r="B78" i="13" s="1"/>
  <c r="B79" i="13" s="1"/>
  <c r="B80" i="13" s="1"/>
  <c r="B81" i="13" s="1"/>
  <c r="B82" i="13" s="1"/>
  <c r="B83" i="13" s="1"/>
  <c r="B84" i="13" s="1"/>
  <c r="B85" i="13" s="1"/>
  <c r="B86" i="13" s="1"/>
  <c r="B87" i="13" s="1"/>
  <c r="B88" i="13" s="1"/>
  <c r="B89" i="13" s="1"/>
  <c r="B90" i="13" s="1"/>
  <c r="B91" i="13" s="1"/>
  <c r="B92" i="13" s="1"/>
  <c r="B93" i="13" s="1"/>
  <c r="B94" i="13" s="1"/>
  <c r="B95" i="13" s="1"/>
  <c r="E49" i="13"/>
  <c r="C50" i="13" s="1"/>
  <c r="F50" i="13" s="1"/>
  <c r="K104" i="13" s="1"/>
  <c r="B51" i="13"/>
  <c r="B52" i="13" s="1"/>
  <c r="B53" i="13" s="1"/>
  <c r="B54" i="13" s="1"/>
  <c r="B55" i="13" s="1"/>
  <c r="B56" i="13" s="1"/>
  <c r="B57" i="13" s="1"/>
  <c r="B58" i="13" s="1"/>
  <c r="B59" i="13" s="1"/>
  <c r="B60" i="13" s="1"/>
  <c r="B61" i="13" s="1"/>
  <c r="B62" i="13" s="1"/>
  <c r="B63" i="13" s="1"/>
  <c r="B64" i="13" s="1"/>
  <c r="B65" i="13" s="1"/>
  <c r="B66" i="13" s="1"/>
  <c r="B67" i="13" s="1"/>
  <c r="B68" i="13" s="1"/>
  <c r="B69" i="13" s="1"/>
  <c r="C56" i="54" l="1"/>
  <c r="G56" i="54" s="1"/>
  <c r="B20" i="17"/>
  <c r="H49" i="13"/>
  <c r="D50" i="13"/>
  <c r="E50" i="13" s="1"/>
  <c r="H76" i="13"/>
  <c r="B12" i="11"/>
  <c r="B13" i="11" s="1"/>
  <c r="B14" i="11" s="1"/>
  <c r="B15" i="11" s="1"/>
  <c r="B16" i="11" s="1"/>
  <c r="B17" i="11" s="1"/>
  <c r="B18" i="11" s="1"/>
  <c r="B19" i="11" s="1"/>
  <c r="B20" i="11" s="1"/>
  <c r="B21" i="11" s="1"/>
  <c r="B22" i="11" s="1"/>
  <c r="B23" i="11" s="1"/>
  <c r="B24" i="11" s="1"/>
  <c r="B25" i="11" s="1"/>
  <c r="B26" i="11" s="1"/>
  <c r="B27" i="11" s="1"/>
  <c r="B28" i="11" s="1"/>
  <c r="B29" i="11" s="1"/>
  <c r="B30" i="11" s="1"/>
  <c r="H56" i="54" l="1"/>
  <c r="H88" i="54" s="1"/>
  <c r="E57" i="54"/>
  <c r="E89" i="54" s="1"/>
  <c r="I76" i="13"/>
  <c r="J76" i="13" s="1"/>
  <c r="F104" i="13" s="1"/>
  <c r="B21" i="17"/>
  <c r="E104" i="13"/>
  <c r="C104" i="13"/>
  <c r="G50" i="13"/>
  <c r="C51" i="13"/>
  <c r="H50" i="13"/>
  <c r="G15" i="10"/>
  <c r="E42" i="10" s="1"/>
  <c r="K76" i="13" l="1"/>
  <c r="G104" i="13" s="1"/>
  <c r="I56" i="54"/>
  <c r="J56" i="54"/>
  <c r="J88" i="54" s="1"/>
  <c r="D104" i="13"/>
  <c r="H104" i="13" s="1"/>
  <c r="L76" i="13"/>
  <c r="B22" i="17"/>
  <c r="F51" i="13"/>
  <c r="K105" i="13" s="1"/>
  <c r="D51" i="13"/>
  <c r="G51" i="13" s="1"/>
  <c r="G32" i="10"/>
  <c r="E32" i="10"/>
  <c r="D32" i="10"/>
  <c r="G31" i="10"/>
  <c r="E31" i="10"/>
  <c r="D31" i="10"/>
  <c r="G30" i="10"/>
  <c r="E30" i="10"/>
  <c r="D30" i="10"/>
  <c r="G29" i="10"/>
  <c r="E29" i="10"/>
  <c r="D29" i="10"/>
  <c r="G28" i="10"/>
  <c r="E28" i="10"/>
  <c r="D28" i="10"/>
  <c r="G27" i="10"/>
  <c r="E27" i="10"/>
  <c r="D27" i="10"/>
  <c r="G26" i="10"/>
  <c r="E26" i="10"/>
  <c r="D26" i="10"/>
  <c r="G25" i="10"/>
  <c r="E25" i="10"/>
  <c r="D25" i="10"/>
  <c r="G24" i="10"/>
  <c r="E24" i="10"/>
  <c r="D24" i="10"/>
  <c r="G23" i="10"/>
  <c r="E23" i="10"/>
  <c r="D23" i="10"/>
  <c r="G22" i="10"/>
  <c r="E49" i="10" s="1"/>
  <c r="E22" i="10"/>
  <c r="D22" i="10"/>
  <c r="G21" i="10"/>
  <c r="E48" i="10" s="1"/>
  <c r="E21" i="10"/>
  <c r="D21" i="10"/>
  <c r="G20" i="10"/>
  <c r="E47" i="10" s="1"/>
  <c r="E20" i="10"/>
  <c r="D20" i="10"/>
  <c r="G19" i="10"/>
  <c r="E46" i="10" s="1"/>
  <c r="E19" i="10"/>
  <c r="D19" i="10"/>
  <c r="G18" i="10"/>
  <c r="E45" i="10" s="1"/>
  <c r="E18" i="10"/>
  <c r="D18" i="10"/>
  <c r="G17" i="10"/>
  <c r="E44" i="10" s="1"/>
  <c r="E17" i="10"/>
  <c r="D17" i="10"/>
  <c r="G16" i="10"/>
  <c r="E43" i="10" s="1"/>
  <c r="E16" i="10"/>
  <c r="D16" i="10"/>
  <c r="E15" i="10"/>
  <c r="D15" i="10"/>
  <c r="G14" i="10"/>
  <c r="E41" i="10" s="1"/>
  <c r="E14" i="10"/>
  <c r="D14" i="10"/>
  <c r="B14" i="10"/>
  <c r="B41" i="10" s="1"/>
  <c r="G13" i="10"/>
  <c r="E40" i="10" s="1"/>
  <c r="E13" i="10"/>
  <c r="D13" i="10"/>
  <c r="C13" i="10"/>
  <c r="K56" i="54" l="1"/>
  <c r="L56" i="54" s="1"/>
  <c r="C11" i="15"/>
  <c r="B23" i="17"/>
  <c r="I104" i="13"/>
  <c r="J104" i="13" s="1"/>
  <c r="L104" i="13"/>
  <c r="E51" i="13"/>
  <c r="C52" i="13" s="1"/>
  <c r="F52" i="13" s="1"/>
  <c r="K106" i="13" s="1"/>
  <c r="N14" i="10"/>
  <c r="F41" i="10" s="1"/>
  <c r="B15" i="10"/>
  <c r="B42" i="10" s="1"/>
  <c r="I13" i="10"/>
  <c r="D57" i="54" l="1"/>
  <c r="D89" i="54" s="1"/>
  <c r="L88" i="54" s="1"/>
  <c r="M104" i="13"/>
  <c r="D11" i="15"/>
  <c r="B24" i="17"/>
  <c r="H51" i="13"/>
  <c r="D52" i="13"/>
  <c r="G52" i="13" s="1"/>
  <c r="N15" i="10"/>
  <c r="F42" i="10" s="1"/>
  <c r="B16" i="10"/>
  <c r="B43" i="10" s="1"/>
  <c r="B32" i="8"/>
  <c r="A13" i="8"/>
  <c r="A14" i="8" s="1"/>
  <c r="A15" i="8" s="1"/>
  <c r="A16" i="8" s="1"/>
  <c r="A17" i="8" s="1"/>
  <c r="A18" i="8" s="1"/>
  <c r="A19" i="8" s="1"/>
  <c r="A20" i="8" s="1"/>
  <c r="A21" i="8" s="1"/>
  <c r="A22" i="8" s="1"/>
  <c r="A23" i="8" s="1"/>
  <c r="A24" i="8" s="1"/>
  <c r="A25" i="8" s="1"/>
  <c r="A26" i="8" s="1"/>
  <c r="A27" i="8" s="1"/>
  <c r="A28" i="8" s="1"/>
  <c r="A29" i="8" s="1"/>
  <c r="A30" i="8" s="1"/>
  <c r="A31" i="8" s="1"/>
  <c r="C57" i="54" l="1"/>
  <c r="G57" i="54" s="1"/>
  <c r="H57" i="54" s="1"/>
  <c r="H89" i="54" s="1"/>
  <c r="E52" i="13"/>
  <c r="N16" i="10"/>
  <c r="F43" i="10" s="1"/>
  <c r="B17" i="10"/>
  <c r="B44" i="10" s="1"/>
  <c r="F15" i="10"/>
  <c r="F16" i="10"/>
  <c r="F17" i="10"/>
  <c r="F18" i="10"/>
  <c r="F19" i="10"/>
  <c r="F20" i="10"/>
  <c r="F21" i="10"/>
  <c r="F22" i="10"/>
  <c r="F23" i="10"/>
  <c r="F24" i="10"/>
  <c r="F25" i="10"/>
  <c r="F26" i="10"/>
  <c r="F27" i="10"/>
  <c r="F28" i="10"/>
  <c r="F29" i="10"/>
  <c r="F30" i="10"/>
  <c r="F31" i="10"/>
  <c r="F32" i="10"/>
  <c r="I57" i="54" l="1"/>
  <c r="J57" i="54" s="1"/>
  <c r="J89" i="54" s="1"/>
  <c r="E58" i="54"/>
  <c r="E90" i="54" s="1"/>
  <c r="K57" i="54"/>
  <c r="D58" i="54" s="1"/>
  <c r="D90" i="54" s="1"/>
  <c r="L89" i="54" s="1"/>
  <c r="H52" i="13"/>
  <c r="C53" i="13"/>
  <c r="N17" i="10"/>
  <c r="F44" i="10" s="1"/>
  <c r="B18" i="10"/>
  <c r="B45" i="10" s="1"/>
  <c r="F14" i="10"/>
  <c r="F13" i="10"/>
  <c r="C32" i="1"/>
  <c r="N54" i="2"/>
  <c r="N55" i="2"/>
  <c r="N56" i="2"/>
  <c r="N57" i="2"/>
  <c r="N58" i="2"/>
  <c r="N59" i="2"/>
  <c r="N60" i="2"/>
  <c r="N61" i="2"/>
  <c r="N62" i="2"/>
  <c r="N63" i="2"/>
  <c r="N44" i="2"/>
  <c r="BP50" i="54" l="1"/>
  <c r="CV50" i="54"/>
  <c r="CV19" i="54"/>
  <c r="BP19" i="54"/>
  <c r="S50" i="54"/>
  <c r="S19" i="54"/>
  <c r="AY50" i="54"/>
  <c r="AY19" i="54"/>
  <c r="L57" i="54"/>
  <c r="C58" i="54"/>
  <c r="G58" i="54" s="1"/>
  <c r="C16" i="17"/>
  <c r="H16" i="17" s="1"/>
  <c r="I16" i="17" s="1"/>
  <c r="J13" i="10"/>
  <c r="K13" i="10" s="1"/>
  <c r="H77" i="13"/>
  <c r="C105" i="13"/>
  <c r="D53" i="13"/>
  <c r="G53" i="13" s="1"/>
  <c r="F53" i="13"/>
  <c r="K107" i="13" s="1"/>
  <c r="N18" i="10"/>
  <c r="F45" i="10" s="1"/>
  <c r="B19" i="10"/>
  <c r="B46" i="10" s="1"/>
  <c r="C33" i="1"/>
  <c r="C14" i="10"/>
  <c r="I14" i="10" s="1"/>
  <c r="W19" i="54" l="1"/>
  <c r="U19" i="54"/>
  <c r="T19" i="54" s="1"/>
  <c r="X19" i="54" s="1"/>
  <c r="W50" i="54"/>
  <c r="U50" i="54"/>
  <c r="T50" i="54" s="1"/>
  <c r="X50" i="54" s="1"/>
  <c r="Y50" i="54" s="1"/>
  <c r="Z50" i="54" s="1"/>
  <c r="AA50" i="54" s="1"/>
  <c r="AB50" i="54" s="1"/>
  <c r="BC19" i="54"/>
  <c r="BJ19" i="54"/>
  <c r="AT19" i="54"/>
  <c r="AL19" i="54"/>
  <c r="BB19" i="54"/>
  <c r="BT19" i="54"/>
  <c r="BR19" i="54" s="1"/>
  <c r="BC50" i="54"/>
  <c r="AL50" i="54"/>
  <c r="BJ50" i="54"/>
  <c r="AT50" i="54"/>
  <c r="BB50" i="54"/>
  <c r="DL20" i="54"/>
  <c r="BP20" i="54"/>
  <c r="BT20" i="54" s="1"/>
  <c r="DL51" i="54"/>
  <c r="BP51" i="54"/>
  <c r="CZ19" i="54"/>
  <c r="CI19" i="54"/>
  <c r="CY19" i="54"/>
  <c r="DG19" i="54"/>
  <c r="CQ19" i="54"/>
  <c r="CZ50" i="54"/>
  <c r="CI50" i="54"/>
  <c r="CQ50" i="54"/>
  <c r="DG50" i="54"/>
  <c r="CY50" i="54"/>
  <c r="BT50" i="54"/>
  <c r="E20" i="58" s="1"/>
  <c r="BR50" i="54"/>
  <c r="H58" i="54"/>
  <c r="H90" i="54" s="1"/>
  <c r="E59" i="54"/>
  <c r="E91" i="54" s="1"/>
  <c r="B20" i="44"/>
  <c r="B13" i="45"/>
  <c r="J16" i="17"/>
  <c r="K16" i="17" s="1"/>
  <c r="C17" i="17"/>
  <c r="H17" i="17" s="1"/>
  <c r="C34" i="1"/>
  <c r="C35" i="1" s="1"/>
  <c r="E105" i="13"/>
  <c r="I77" i="13"/>
  <c r="D105" i="13" s="1"/>
  <c r="C15" i="10"/>
  <c r="I15" i="10" s="1"/>
  <c r="C107" i="13"/>
  <c r="E53" i="13"/>
  <c r="H53" i="13" s="1"/>
  <c r="N19" i="10"/>
  <c r="F46" i="10" s="1"/>
  <c r="B20" i="10"/>
  <c r="B47" i="10" s="1"/>
  <c r="M13" i="10"/>
  <c r="J14" i="10" s="1"/>
  <c r="CZ82" i="54" l="1"/>
  <c r="CY82" i="54"/>
  <c r="CH19" i="54"/>
  <c r="CX19" i="54"/>
  <c r="CW19" i="54" s="1"/>
  <c r="DA19" i="54" s="1"/>
  <c r="DB19" i="54" s="1"/>
  <c r="DC19" i="54" s="1"/>
  <c r="DD19" i="54" s="1"/>
  <c r="DE19" i="54" s="1"/>
  <c r="BQ19" i="54"/>
  <c r="BU19" i="54" s="1"/>
  <c r="AC50" i="54"/>
  <c r="U51" i="54"/>
  <c r="E12" i="55"/>
  <c r="BT51" i="54"/>
  <c r="E21" i="58" s="1"/>
  <c r="DP51" i="54"/>
  <c r="DP20" i="54"/>
  <c r="CI82" i="54"/>
  <c r="DO50" i="54"/>
  <c r="DO82" i="54" s="1"/>
  <c r="BB82" i="54"/>
  <c r="BA50" i="54"/>
  <c r="AK50" i="54"/>
  <c r="AL82" i="54"/>
  <c r="BC82" i="54"/>
  <c r="Y19" i="54"/>
  <c r="Z19" i="54" s="1"/>
  <c r="AA19" i="54" s="1"/>
  <c r="AB19" i="54" s="1"/>
  <c r="V20" i="54"/>
  <c r="BQ50" i="54"/>
  <c r="DN50" i="54"/>
  <c r="CX50" i="54"/>
  <c r="CH50" i="54"/>
  <c r="G20" i="58"/>
  <c r="BA19" i="54"/>
  <c r="AZ19" i="54" s="1"/>
  <c r="BD19" i="54" s="1"/>
  <c r="BE19" i="54" s="1"/>
  <c r="BF19" i="54" s="1"/>
  <c r="BG19" i="54" s="1"/>
  <c r="BH19" i="54" s="1"/>
  <c r="AK19" i="54"/>
  <c r="AJ19" i="54" s="1"/>
  <c r="AN19" i="54" s="1"/>
  <c r="I58" i="54"/>
  <c r="K20" i="58"/>
  <c r="J20" i="44" s="1"/>
  <c r="B21" i="44"/>
  <c r="B14" i="45"/>
  <c r="C16" i="10"/>
  <c r="I16" i="10" s="1"/>
  <c r="C19" i="17"/>
  <c r="H19" i="17" s="1"/>
  <c r="H79" i="13"/>
  <c r="E107" i="13" s="1"/>
  <c r="C18" i="17"/>
  <c r="H18" i="17" s="1"/>
  <c r="I17" i="17"/>
  <c r="J17" i="17" s="1"/>
  <c r="K17" i="17" s="1"/>
  <c r="K77" i="13"/>
  <c r="G105" i="13" s="1"/>
  <c r="J77" i="13"/>
  <c r="F105" i="13" s="1"/>
  <c r="H105" i="13" s="1"/>
  <c r="L105" i="13" s="1"/>
  <c r="C17" i="10"/>
  <c r="I17" i="10" s="1"/>
  <c r="H80" i="13"/>
  <c r="E108" i="13" s="1"/>
  <c r="H78" i="13"/>
  <c r="E106" i="13" s="1"/>
  <c r="C106" i="13"/>
  <c r="C108" i="13"/>
  <c r="C54" i="13"/>
  <c r="D54" i="13" s="1"/>
  <c r="G54" i="13" s="1"/>
  <c r="N20" i="10"/>
  <c r="F47" i="10" s="1"/>
  <c r="B21" i="10"/>
  <c r="B48" i="10" s="1"/>
  <c r="K14" i="10"/>
  <c r="C36" i="1"/>
  <c r="DM50" i="54" l="1"/>
  <c r="DQ50" i="54" s="1"/>
  <c r="U20" i="54"/>
  <c r="AC19" i="54"/>
  <c r="DP83" i="54"/>
  <c r="BU50" i="54"/>
  <c r="H20" i="58"/>
  <c r="AK82" i="54"/>
  <c r="AS81" i="54" s="1"/>
  <c r="AJ50" i="54"/>
  <c r="AN50" i="54" s="1"/>
  <c r="T51" i="54"/>
  <c r="X51" i="54" s="1"/>
  <c r="Y51" i="54" s="1"/>
  <c r="Z51" i="54" s="1"/>
  <c r="AA51" i="54" s="1"/>
  <c r="AB51" i="54" s="1"/>
  <c r="AO19" i="54"/>
  <c r="AP19" i="54" s="1"/>
  <c r="AQ19" i="54" s="1"/>
  <c r="AR19" i="54" s="1"/>
  <c r="AL20" i="54" s="1"/>
  <c r="AG19" i="54"/>
  <c r="BI19" i="54"/>
  <c r="BA82" i="54"/>
  <c r="BI81" i="54" s="1"/>
  <c r="AZ50" i="54"/>
  <c r="BD50" i="54" s="1"/>
  <c r="BV19" i="54"/>
  <c r="BW19" i="54" s="1"/>
  <c r="BX19" i="54" s="1"/>
  <c r="BY19" i="54" s="1"/>
  <c r="BS20" i="54"/>
  <c r="CH82" i="54"/>
  <c r="CP81" i="54" s="1"/>
  <c r="CG50" i="54"/>
  <c r="CK50" i="54" s="1"/>
  <c r="DF19" i="54"/>
  <c r="CX82" i="54"/>
  <c r="DF81" i="54" s="1"/>
  <c r="CW50" i="54"/>
  <c r="DA50" i="54" s="1"/>
  <c r="CG19" i="54"/>
  <c r="CK19" i="54" s="1"/>
  <c r="CL19" i="54" s="1"/>
  <c r="CM19" i="54" s="1"/>
  <c r="CN19" i="54" s="1"/>
  <c r="CO19" i="54" s="1"/>
  <c r="DN19" i="54"/>
  <c r="DM19" i="54" s="1"/>
  <c r="DQ19" i="54" s="1"/>
  <c r="DR19" i="54" s="1"/>
  <c r="DS19" i="54" s="1"/>
  <c r="DT19" i="54" s="1"/>
  <c r="DU19" i="54" s="1"/>
  <c r="J58" i="54"/>
  <c r="J90" i="54" s="1"/>
  <c r="K21" i="58"/>
  <c r="J21" i="44" s="1"/>
  <c r="C20" i="17"/>
  <c r="H20" i="17" s="1"/>
  <c r="C12" i="15"/>
  <c r="C37" i="1"/>
  <c r="I18" i="17"/>
  <c r="J18" i="17" s="1"/>
  <c r="L77" i="13"/>
  <c r="I78" i="13" s="1"/>
  <c r="M105" i="13"/>
  <c r="D12" i="15"/>
  <c r="C19" i="10"/>
  <c r="H82" i="13"/>
  <c r="C18" i="10"/>
  <c r="I18" i="10" s="1"/>
  <c r="H81" i="13"/>
  <c r="I105" i="13"/>
  <c r="J105" i="13" s="1"/>
  <c r="F54" i="13"/>
  <c r="E54" i="13"/>
  <c r="C55" i="13" s="1"/>
  <c r="F55" i="13" s="1"/>
  <c r="K109" i="13" s="1"/>
  <c r="N21" i="10"/>
  <c r="F48" i="10" s="1"/>
  <c r="B22" i="10"/>
  <c r="B49" i="10" s="1"/>
  <c r="M14" i="10"/>
  <c r="BJ20" i="54" l="1"/>
  <c r="AO50" i="54"/>
  <c r="AO82" i="54" s="1"/>
  <c r="AG50" i="54"/>
  <c r="AP50" i="54"/>
  <c r="BE50" i="54"/>
  <c r="BE82" i="54" s="1"/>
  <c r="BV50" i="54"/>
  <c r="I20" i="58" s="1"/>
  <c r="CQ20" i="54"/>
  <c r="CP19" i="54"/>
  <c r="CD19" i="54"/>
  <c r="DW20" i="54"/>
  <c r="DB50" i="54"/>
  <c r="DB82" i="54" s="1"/>
  <c r="T20" i="54"/>
  <c r="X20" i="54" s="1"/>
  <c r="AK20" i="54"/>
  <c r="AJ20" i="54" s="1"/>
  <c r="AN20" i="54" s="1"/>
  <c r="BA20" i="54"/>
  <c r="BR20" i="54"/>
  <c r="BZ19" i="54"/>
  <c r="DV19" i="54"/>
  <c r="DG20" i="54"/>
  <c r="AT20" i="54"/>
  <c r="AS19" i="54"/>
  <c r="BB20" i="54"/>
  <c r="DN82" i="54"/>
  <c r="CI20" i="54"/>
  <c r="CY20" i="54"/>
  <c r="DO20" i="54"/>
  <c r="CL50" i="54"/>
  <c r="CL82" i="54" s="1"/>
  <c r="CM50" i="54"/>
  <c r="AC51" i="54"/>
  <c r="U52" i="54"/>
  <c r="DR50" i="54"/>
  <c r="DR82" i="54" s="1"/>
  <c r="I19" i="10"/>
  <c r="J15" i="10"/>
  <c r="K15" i="10" s="1"/>
  <c r="M15" i="10" s="1"/>
  <c r="C41" i="10"/>
  <c r="K58" i="54"/>
  <c r="C38" i="1"/>
  <c r="C22" i="17" s="1"/>
  <c r="H22" i="17" s="1"/>
  <c r="C21" i="17"/>
  <c r="H21" i="17" s="1"/>
  <c r="K18" i="17"/>
  <c r="K78" i="13"/>
  <c r="G106" i="13" s="1"/>
  <c r="H83" i="13"/>
  <c r="J78" i="13"/>
  <c r="D106" i="13"/>
  <c r="K108" i="13"/>
  <c r="D55" i="13"/>
  <c r="E55" i="13" s="1"/>
  <c r="H55" i="13" s="1"/>
  <c r="H54" i="13"/>
  <c r="N22" i="10"/>
  <c r="F49" i="10" s="1"/>
  <c r="B23" i="10"/>
  <c r="C20" i="10" l="1"/>
  <c r="I20" i="10" s="1"/>
  <c r="BF50" i="54"/>
  <c r="DC50" i="54"/>
  <c r="AZ20" i="54"/>
  <c r="BD20" i="54" s="1"/>
  <c r="BE20" i="54" s="1"/>
  <c r="BF20" i="54" s="1"/>
  <c r="BG20" i="54" s="1"/>
  <c r="BH20" i="54" s="1"/>
  <c r="AO20" i="54"/>
  <c r="AP20" i="54" s="1"/>
  <c r="AQ20" i="54" s="1"/>
  <c r="AR20" i="54" s="1"/>
  <c r="DS50" i="54"/>
  <c r="T52" i="54"/>
  <c r="X52" i="54" s="1"/>
  <c r="Y52" i="54" s="1"/>
  <c r="Z52" i="54" s="1"/>
  <c r="AA52" i="54" s="1"/>
  <c r="AB52" i="54" s="1"/>
  <c r="CN50" i="54"/>
  <c r="CN82" i="54" s="1"/>
  <c r="CO50" i="54"/>
  <c r="BW50" i="54"/>
  <c r="BX50" i="54" s="1"/>
  <c r="BY50" i="54" s="1"/>
  <c r="BI20" i="54"/>
  <c r="BJ21" i="54"/>
  <c r="BG50" i="54"/>
  <c r="BG82" i="54" s="1"/>
  <c r="BQ20" i="54"/>
  <c r="BU20" i="54" s="1"/>
  <c r="CX20" i="54"/>
  <c r="CW20" i="54" s="1"/>
  <c r="DA20" i="54" s="1"/>
  <c r="DB20" i="54" s="1"/>
  <c r="DC20" i="54" s="1"/>
  <c r="DD20" i="54" s="1"/>
  <c r="DE20" i="54" s="1"/>
  <c r="DN20" i="54"/>
  <c r="DM20" i="54" s="1"/>
  <c r="DQ20" i="54" s="1"/>
  <c r="DR20" i="54" s="1"/>
  <c r="DS20" i="54" s="1"/>
  <c r="DT20" i="54" s="1"/>
  <c r="DU20" i="54" s="1"/>
  <c r="CH20" i="54"/>
  <c r="CG20" i="54" s="1"/>
  <c r="CK20" i="54" s="1"/>
  <c r="CL20" i="54" s="1"/>
  <c r="CM20" i="54" s="1"/>
  <c r="CN20" i="54" s="1"/>
  <c r="CO20" i="54" s="1"/>
  <c r="Y20" i="54"/>
  <c r="Z20" i="54" s="1"/>
  <c r="AA20" i="54" s="1"/>
  <c r="AB20" i="54" s="1"/>
  <c r="V21" i="54"/>
  <c r="AQ50" i="54"/>
  <c r="AQ82" i="54" s="1"/>
  <c r="DD50" i="54"/>
  <c r="DD82" i="54" s="1"/>
  <c r="DE50" i="54"/>
  <c r="J16" i="10"/>
  <c r="K16" i="10" s="1"/>
  <c r="C42" i="10"/>
  <c r="L58" i="54"/>
  <c r="D59" i="54"/>
  <c r="D91" i="54" s="1"/>
  <c r="L90" i="54" s="1"/>
  <c r="C39" i="1"/>
  <c r="C23" i="17" s="1"/>
  <c r="H23" i="17" s="1"/>
  <c r="BA128" i="33"/>
  <c r="I19" i="17"/>
  <c r="J19" i="17" s="1"/>
  <c r="K19" i="17" s="1"/>
  <c r="F106" i="13"/>
  <c r="H106" i="13" s="1"/>
  <c r="L78" i="13"/>
  <c r="H84" i="13"/>
  <c r="C56" i="13"/>
  <c r="F56" i="13" s="1"/>
  <c r="K110" i="13" s="1"/>
  <c r="C110" i="13"/>
  <c r="E110" i="13"/>
  <c r="E109" i="13"/>
  <c r="C109" i="13"/>
  <c r="G55" i="13"/>
  <c r="N23" i="10"/>
  <c r="N24" i="10" s="1"/>
  <c r="N25" i="10" s="1"/>
  <c r="N26" i="10" s="1"/>
  <c r="N27" i="10" s="1"/>
  <c r="N28" i="10" s="1"/>
  <c r="N29" i="10" s="1"/>
  <c r="N30" i="10" s="1"/>
  <c r="N31" i="10" s="1"/>
  <c r="N32" i="10" s="1"/>
  <c r="B24" i="10"/>
  <c r="B25" i="10" s="1"/>
  <c r="B26" i="10" s="1"/>
  <c r="B27" i="10" s="1"/>
  <c r="B28" i="10" s="1"/>
  <c r="B29" i="10" s="1"/>
  <c r="B30" i="10" s="1"/>
  <c r="B31" i="10" s="1"/>
  <c r="B32" i="10" s="1"/>
  <c r="AG20" i="54" l="1"/>
  <c r="AR50" i="54"/>
  <c r="BR51" i="54"/>
  <c r="BZ50" i="54"/>
  <c r="CI51" i="54"/>
  <c r="CI83" i="54" s="1"/>
  <c r="CQ51" i="54"/>
  <c r="CP50" i="54"/>
  <c r="DO51" i="54"/>
  <c r="DO83" i="54" s="1"/>
  <c r="DW51" i="54"/>
  <c r="AL21" i="54"/>
  <c r="BB21" i="54"/>
  <c r="AC20" i="54"/>
  <c r="U21" i="54"/>
  <c r="CP20" i="54"/>
  <c r="CQ21" i="54"/>
  <c r="DV20" i="54"/>
  <c r="DW21" i="54"/>
  <c r="AC52" i="54"/>
  <c r="U53" i="54"/>
  <c r="T53" i="54" s="1"/>
  <c r="X53" i="54" s="1"/>
  <c r="Y53" i="54" s="1"/>
  <c r="Z53" i="54" s="1"/>
  <c r="AA53" i="54" s="1"/>
  <c r="AB53" i="54" s="1"/>
  <c r="DF20" i="54"/>
  <c r="DG21" i="54"/>
  <c r="DT50" i="54"/>
  <c r="DT82" i="54" s="1"/>
  <c r="DF50" i="54"/>
  <c r="DG51" i="54"/>
  <c r="CY51" i="54"/>
  <c r="CY83" i="54" s="1"/>
  <c r="C21" i="10"/>
  <c r="I21" i="10" s="1"/>
  <c r="BV20" i="54"/>
  <c r="BW20" i="54" s="1"/>
  <c r="BX20" i="54" s="1"/>
  <c r="BY20" i="54" s="1"/>
  <c r="BS21" i="54"/>
  <c r="AS20" i="54"/>
  <c r="AT21" i="54"/>
  <c r="AS50" i="54"/>
  <c r="C40" i="1"/>
  <c r="C41" i="1" s="1"/>
  <c r="BH50" i="54"/>
  <c r="AK51" i="54" s="1"/>
  <c r="AK83" i="54" s="1"/>
  <c r="C59" i="54"/>
  <c r="G59" i="54" s="1"/>
  <c r="E60" i="54" s="1"/>
  <c r="E92" i="54" s="1"/>
  <c r="I20" i="17"/>
  <c r="J20" i="17" s="1"/>
  <c r="K20" i="17" s="1"/>
  <c r="I79" i="13"/>
  <c r="K79" i="13" s="1"/>
  <c r="G107" i="13" s="1"/>
  <c r="C13" i="15"/>
  <c r="L106" i="13"/>
  <c r="I106" i="13"/>
  <c r="J106" i="13" s="1"/>
  <c r="H85" i="13"/>
  <c r="D56" i="13"/>
  <c r="E56" i="13" s="1"/>
  <c r="H56" i="13" s="1"/>
  <c r="M16" i="10"/>
  <c r="DU50" i="54" l="1"/>
  <c r="CD50" i="54" s="1"/>
  <c r="U54" i="54"/>
  <c r="AC53" i="54"/>
  <c r="C22" i="10"/>
  <c r="I22" i="10" s="1"/>
  <c r="BA51" i="54"/>
  <c r="BA83" i="54" s="1"/>
  <c r="BB51" i="54"/>
  <c r="BB83" i="54" s="1"/>
  <c r="BI50" i="54"/>
  <c r="BJ51" i="54"/>
  <c r="BZ20" i="54"/>
  <c r="BR21" i="54"/>
  <c r="CY21" i="54"/>
  <c r="CI21" i="54"/>
  <c r="DO21" i="54"/>
  <c r="AL51" i="54"/>
  <c r="AL83" i="54" s="1"/>
  <c r="CD20" i="54"/>
  <c r="AS82" i="54"/>
  <c r="C24" i="17"/>
  <c r="H24" i="17" s="1"/>
  <c r="DV50" i="54"/>
  <c r="DM51" i="54"/>
  <c r="DQ51" i="54" s="1"/>
  <c r="AT51" i="54"/>
  <c r="T21" i="54"/>
  <c r="X21" i="54" s="1"/>
  <c r="BA21" i="54"/>
  <c r="AZ21" i="54" s="1"/>
  <c r="BD21" i="54" s="1"/>
  <c r="BE21" i="54" s="1"/>
  <c r="BF21" i="54" s="1"/>
  <c r="BG21" i="54" s="1"/>
  <c r="BH21" i="54" s="1"/>
  <c r="AK21" i="54"/>
  <c r="AJ21" i="54" s="1"/>
  <c r="AN21" i="54" s="1"/>
  <c r="BQ51" i="54"/>
  <c r="G21" i="58"/>
  <c r="DN51" i="54"/>
  <c r="DN83" i="54" s="1"/>
  <c r="DV82" i="54" s="1"/>
  <c r="CH51" i="54"/>
  <c r="CX51" i="54"/>
  <c r="J17" i="10"/>
  <c r="K17" i="10" s="1"/>
  <c r="M17" i="10" s="1"/>
  <c r="C43" i="10"/>
  <c r="H59" i="54"/>
  <c r="H91" i="54" s="1"/>
  <c r="G20" i="44"/>
  <c r="I21" i="17"/>
  <c r="J21" i="17" s="1"/>
  <c r="K21" i="17" s="1"/>
  <c r="M106" i="13"/>
  <c r="D13" i="15"/>
  <c r="C23" i="10"/>
  <c r="I23" i="10" s="1"/>
  <c r="H86" i="13"/>
  <c r="J79" i="13"/>
  <c r="F107" i="13" s="1"/>
  <c r="D107" i="13"/>
  <c r="C57" i="13"/>
  <c r="D57" i="13" s="1"/>
  <c r="G56" i="13"/>
  <c r="E111" i="13"/>
  <c r="C111" i="13"/>
  <c r="C42" i="1"/>
  <c r="AZ51" i="54" l="1"/>
  <c r="BD51" i="54" s="1"/>
  <c r="BI82" i="54"/>
  <c r="CH83" i="54"/>
  <c r="CP82" i="54" s="1"/>
  <c r="CG51" i="54"/>
  <c r="CK51" i="54" s="1"/>
  <c r="DR51" i="54"/>
  <c r="DR83" i="54" s="1"/>
  <c r="H21" i="58"/>
  <c r="BU51" i="54"/>
  <c r="BE51" i="54"/>
  <c r="BE83" i="54" s="1"/>
  <c r="AG21" i="54"/>
  <c r="AO21" i="54"/>
  <c r="AP21" i="54" s="1"/>
  <c r="AQ21" i="54" s="1"/>
  <c r="AR21" i="54" s="1"/>
  <c r="BJ22" i="54" s="1"/>
  <c r="BI21" i="54"/>
  <c r="Y21" i="54"/>
  <c r="Z21" i="54" s="1"/>
  <c r="AA21" i="54" s="1"/>
  <c r="AB21" i="54" s="1"/>
  <c r="V22" i="54"/>
  <c r="CX83" i="54"/>
  <c r="DF82" i="54" s="1"/>
  <c r="CW51" i="54"/>
  <c r="DA51" i="54" s="1"/>
  <c r="AJ51" i="54"/>
  <c r="AN51" i="54" s="1"/>
  <c r="BQ21" i="54"/>
  <c r="BU21" i="54" s="1"/>
  <c r="CH21" i="54"/>
  <c r="CG21" i="54" s="1"/>
  <c r="CK21" i="54" s="1"/>
  <c r="CL21" i="54" s="1"/>
  <c r="CM21" i="54" s="1"/>
  <c r="CN21" i="54" s="1"/>
  <c r="CO21" i="54" s="1"/>
  <c r="DN21" i="54"/>
  <c r="DM21" i="54" s="1"/>
  <c r="DQ21" i="54" s="1"/>
  <c r="DR21" i="54" s="1"/>
  <c r="DS21" i="54" s="1"/>
  <c r="DT21" i="54" s="1"/>
  <c r="DU21" i="54" s="1"/>
  <c r="CX21" i="54"/>
  <c r="CW21" i="54" s="1"/>
  <c r="DA21" i="54" s="1"/>
  <c r="DB21" i="54" s="1"/>
  <c r="DC21" i="54" s="1"/>
  <c r="DD21" i="54" s="1"/>
  <c r="DE21" i="54" s="1"/>
  <c r="T54" i="54"/>
  <c r="X54" i="54" s="1"/>
  <c r="Y54" i="54" s="1"/>
  <c r="Z54" i="54" s="1"/>
  <c r="AA54" i="54" s="1"/>
  <c r="AB54" i="54" s="1"/>
  <c r="I59" i="54"/>
  <c r="J59" i="54" s="1"/>
  <c r="J91" i="54" s="1"/>
  <c r="J18" i="10"/>
  <c r="K18" i="10" s="1"/>
  <c r="M18" i="10" s="1"/>
  <c r="C44" i="10"/>
  <c r="I22" i="17"/>
  <c r="J22" i="17" s="1"/>
  <c r="K22" i="17" s="1"/>
  <c r="C14" i="15"/>
  <c r="L79" i="13"/>
  <c r="F57" i="13"/>
  <c r="K111" i="13" s="1"/>
  <c r="H107" i="13"/>
  <c r="L107" i="13" s="1"/>
  <c r="C24" i="10"/>
  <c r="I24" i="10" s="1"/>
  <c r="H87" i="13"/>
  <c r="E57" i="13"/>
  <c r="G57" i="13"/>
  <c r="C43" i="1"/>
  <c r="BF51" i="54" l="1"/>
  <c r="DS51" i="54"/>
  <c r="U55" i="54"/>
  <c r="AC54" i="54"/>
  <c r="DV21" i="54"/>
  <c r="DW22" i="54"/>
  <c r="BG51" i="54"/>
  <c r="BG83" i="54" s="1"/>
  <c r="CP21" i="54"/>
  <c r="CQ22" i="54"/>
  <c r="DF21" i="54"/>
  <c r="DG22" i="54"/>
  <c r="BV51" i="54"/>
  <c r="I21" i="58" s="1"/>
  <c r="AS21" i="54"/>
  <c r="AT22" i="54"/>
  <c r="DB51" i="54"/>
  <c r="DB83" i="54" s="1"/>
  <c r="DC51" i="54"/>
  <c r="DT51" i="54"/>
  <c r="DT83" i="54" s="1"/>
  <c r="DU51" i="54"/>
  <c r="BS22" i="54"/>
  <c r="BV21" i="54"/>
  <c r="BW21" i="54" s="1"/>
  <c r="BX21" i="54" s="1"/>
  <c r="BY21" i="54" s="1"/>
  <c r="CD21" i="54" s="1"/>
  <c r="AO51" i="54"/>
  <c r="AO83" i="54" s="1"/>
  <c r="AG51" i="54"/>
  <c r="AP51" i="54"/>
  <c r="AL22" i="54"/>
  <c r="BB22" i="54"/>
  <c r="CL51" i="54"/>
  <c r="CL83" i="54" s="1"/>
  <c r="AC21" i="54"/>
  <c r="U22" i="54"/>
  <c r="J19" i="10"/>
  <c r="K19" i="10" s="1"/>
  <c r="C45" i="10"/>
  <c r="K59" i="54"/>
  <c r="BA129" i="33"/>
  <c r="I23" i="17"/>
  <c r="J23" i="17" s="1"/>
  <c r="K23" i="17" s="1"/>
  <c r="I24" i="17" s="1"/>
  <c r="J24" i="17" s="1"/>
  <c r="K24" i="17" s="1"/>
  <c r="I80" i="13"/>
  <c r="K80" i="13" s="1"/>
  <c r="G108" i="13" s="1"/>
  <c r="M107" i="13"/>
  <c r="D14" i="15"/>
  <c r="I107" i="13"/>
  <c r="J107" i="13" s="1"/>
  <c r="C25" i="10"/>
  <c r="I25" i="10" s="1"/>
  <c r="H88" i="13"/>
  <c r="H57" i="13"/>
  <c r="C58" i="13"/>
  <c r="F58" i="13" s="1"/>
  <c r="K112" i="13" s="1"/>
  <c r="C44" i="1"/>
  <c r="BH51" i="54" l="1"/>
  <c r="CM51" i="54"/>
  <c r="BW51" i="54"/>
  <c r="BX51" i="54" s="1"/>
  <c r="BY51" i="54" s="1"/>
  <c r="BR52" i="54" s="1"/>
  <c r="BQ52" i="54" s="1"/>
  <c r="BU52" i="54" s="1"/>
  <c r="BV52" i="54" s="1"/>
  <c r="BW52" i="54" s="1"/>
  <c r="BX52" i="54" s="1"/>
  <c r="BY52" i="54" s="1"/>
  <c r="CI22" i="54"/>
  <c r="CY22" i="54"/>
  <c r="DO22" i="54"/>
  <c r="BI51" i="54"/>
  <c r="DV51" i="54"/>
  <c r="T22" i="54"/>
  <c r="X22" i="54" s="1"/>
  <c r="AK22" i="54"/>
  <c r="AJ22" i="54" s="1"/>
  <c r="AN22" i="54" s="1"/>
  <c r="BA22" i="54"/>
  <c r="AZ22" i="54" s="1"/>
  <c r="BD22" i="54" s="1"/>
  <c r="BE22" i="54" s="1"/>
  <c r="BF22" i="54" s="1"/>
  <c r="BG22" i="54" s="1"/>
  <c r="BH22" i="54" s="1"/>
  <c r="BZ51" i="54"/>
  <c r="AQ51" i="54"/>
  <c r="AQ83" i="54" s="1"/>
  <c r="BR22" i="54"/>
  <c r="BZ21" i="54"/>
  <c r="DD51" i="54"/>
  <c r="DD83" i="54" s="1"/>
  <c r="CN51" i="54"/>
  <c r="CN83" i="54" s="1"/>
  <c r="T55" i="54"/>
  <c r="X55" i="54" s="1"/>
  <c r="Y55" i="54" s="1"/>
  <c r="Z55" i="54" s="1"/>
  <c r="AA55" i="54" s="1"/>
  <c r="AB55" i="54" s="1"/>
  <c r="L59" i="54"/>
  <c r="D60" i="54"/>
  <c r="D92" i="54" s="1"/>
  <c r="L91" i="54" s="1"/>
  <c r="D108" i="13"/>
  <c r="J80" i="13"/>
  <c r="F108" i="13" s="1"/>
  <c r="C26" i="10"/>
  <c r="I26" i="10" s="1"/>
  <c r="H89" i="13"/>
  <c r="E112" i="13"/>
  <c r="C112" i="13"/>
  <c r="D58" i="13"/>
  <c r="C45" i="1"/>
  <c r="E13" i="55" l="1"/>
  <c r="CO51" i="54"/>
  <c r="AR51" i="54"/>
  <c r="BA52" i="54" s="1"/>
  <c r="BR53" i="54"/>
  <c r="BZ52" i="54"/>
  <c r="BA84" i="54"/>
  <c r="AZ52" i="54"/>
  <c r="BD52" i="54" s="1"/>
  <c r="BQ22" i="54"/>
  <c r="BU22" i="54" s="1"/>
  <c r="CH22" i="54"/>
  <c r="CG22" i="54" s="1"/>
  <c r="CK22" i="54" s="1"/>
  <c r="CL22" i="54" s="1"/>
  <c r="CM22" i="54" s="1"/>
  <c r="CN22" i="54" s="1"/>
  <c r="CO22" i="54" s="1"/>
  <c r="DN22" i="54"/>
  <c r="DM22" i="54" s="1"/>
  <c r="DQ22" i="54" s="1"/>
  <c r="DR22" i="54" s="1"/>
  <c r="DS22" i="54" s="1"/>
  <c r="DT22" i="54" s="1"/>
  <c r="DU22" i="54" s="1"/>
  <c r="CX22" i="54"/>
  <c r="CW22" i="54" s="1"/>
  <c r="DA22" i="54" s="1"/>
  <c r="DB22" i="54" s="1"/>
  <c r="DC22" i="54" s="1"/>
  <c r="DD22" i="54" s="1"/>
  <c r="DE22" i="54" s="1"/>
  <c r="BJ52" i="54"/>
  <c r="AT52" i="54"/>
  <c r="BB52" i="54"/>
  <c r="BB84" i="54" s="1"/>
  <c r="U56" i="54"/>
  <c r="AC55" i="54"/>
  <c r="CP51" i="54"/>
  <c r="CD51" i="54"/>
  <c r="CQ52" i="54"/>
  <c r="CI52" i="54"/>
  <c r="CI84" i="54" s="1"/>
  <c r="BI22" i="54"/>
  <c r="AG22" i="54"/>
  <c r="AO22" i="54"/>
  <c r="AP22" i="54" s="1"/>
  <c r="AQ22" i="54" s="1"/>
  <c r="AR22" i="54" s="1"/>
  <c r="BJ23" i="54" s="1"/>
  <c r="DE51" i="54"/>
  <c r="CH52" i="54" s="1"/>
  <c r="V23" i="54"/>
  <c r="Y22" i="54"/>
  <c r="Z22" i="54" s="1"/>
  <c r="AA22" i="54" s="1"/>
  <c r="AB22" i="54" s="1"/>
  <c r="C60" i="54"/>
  <c r="G60" i="54" s="1"/>
  <c r="L80" i="13"/>
  <c r="I81" i="13" s="1"/>
  <c r="K81" i="13" s="1"/>
  <c r="G109" i="13" s="1"/>
  <c r="H108" i="13"/>
  <c r="I108" i="13" s="1"/>
  <c r="J108" i="13" s="1"/>
  <c r="C15" i="15"/>
  <c r="C27" i="10"/>
  <c r="I27" i="10" s="1"/>
  <c r="H90" i="13"/>
  <c r="E58" i="13"/>
  <c r="G58" i="13"/>
  <c r="M19" i="10"/>
  <c r="C46" i="1"/>
  <c r="AK52" i="54" l="1"/>
  <c r="AK84" i="54" s="1"/>
  <c r="AL52" i="54"/>
  <c r="AL84" i="54" s="1"/>
  <c r="AS51" i="54"/>
  <c r="AS83" i="54"/>
  <c r="CH84" i="54"/>
  <c r="CP83" i="54" s="1"/>
  <c r="CG52" i="54"/>
  <c r="CK52" i="54" s="1"/>
  <c r="DG23" i="54"/>
  <c r="DF22" i="54"/>
  <c r="DV22" i="54"/>
  <c r="DW23" i="54"/>
  <c r="CP22" i="54"/>
  <c r="CQ23" i="54"/>
  <c r="BV22" i="54"/>
  <c r="BW22" i="54" s="1"/>
  <c r="BX22" i="54" s="1"/>
  <c r="BY22" i="54" s="1"/>
  <c r="CD22" i="54" s="1"/>
  <c r="BS23" i="54"/>
  <c r="AL23" i="54"/>
  <c r="BB23" i="54"/>
  <c r="BE52" i="54"/>
  <c r="BE84" i="54" s="1"/>
  <c r="BF52" i="54"/>
  <c r="DF51" i="54"/>
  <c r="CY52" i="54"/>
  <c r="CY84" i="54" s="1"/>
  <c r="DG52" i="54"/>
  <c r="CW52" i="54"/>
  <c r="DA52" i="54" s="1"/>
  <c r="DO52" i="54"/>
  <c r="DO84" i="54" s="1"/>
  <c r="DW52" i="54"/>
  <c r="BI83" i="54"/>
  <c r="AC22" i="54"/>
  <c r="U23" i="54"/>
  <c r="AS22" i="54"/>
  <c r="AT23" i="54"/>
  <c r="CX52" i="54"/>
  <c r="CX84" i="54" s="1"/>
  <c r="DN52" i="54"/>
  <c r="AJ52" i="54"/>
  <c r="AN52" i="54" s="1"/>
  <c r="T56" i="54"/>
  <c r="X56" i="54" s="1"/>
  <c r="Y56" i="54" s="1"/>
  <c r="Z56" i="54" s="1"/>
  <c r="AA56" i="54" s="1"/>
  <c r="AB56" i="54" s="1"/>
  <c r="BQ53" i="54"/>
  <c r="BU53" i="54" s="1"/>
  <c r="BV53" i="54" s="1"/>
  <c r="BW53" i="54" s="1"/>
  <c r="BX53" i="54" s="1"/>
  <c r="BY53" i="54" s="1"/>
  <c r="J20" i="10"/>
  <c r="K20" i="10" s="1"/>
  <c r="C46" i="10"/>
  <c r="H60" i="54"/>
  <c r="H92" i="54" s="1"/>
  <c r="E61" i="54"/>
  <c r="E93" i="54" s="1"/>
  <c r="L108" i="13"/>
  <c r="J81" i="13"/>
  <c r="D109" i="13"/>
  <c r="C28" i="10"/>
  <c r="I28" i="10" s="1"/>
  <c r="H91" i="13"/>
  <c r="H58" i="13"/>
  <c r="C59" i="13"/>
  <c r="F59" i="13" s="1"/>
  <c r="K113" i="13" s="1"/>
  <c r="C47" i="1"/>
  <c r="DF83" i="54" l="1"/>
  <c r="U57" i="54"/>
  <c r="AC56" i="54"/>
  <c r="AO52" i="54"/>
  <c r="AO84" i="54" s="1"/>
  <c r="AG52" i="54"/>
  <c r="AP52" i="54"/>
  <c r="DN84" i="54"/>
  <c r="DV83" i="54" s="1"/>
  <c r="DM52" i="54"/>
  <c r="DQ52" i="54" s="1"/>
  <c r="BG52" i="54"/>
  <c r="BG84" i="54" s="1"/>
  <c r="BH52" i="54"/>
  <c r="T23" i="54"/>
  <c r="X23" i="54" s="1"/>
  <c r="BA23" i="54"/>
  <c r="AZ23" i="54" s="1"/>
  <c r="BD23" i="54" s="1"/>
  <c r="BE23" i="54" s="1"/>
  <c r="BF23" i="54" s="1"/>
  <c r="BG23" i="54" s="1"/>
  <c r="BH23" i="54" s="1"/>
  <c r="AK23" i="54"/>
  <c r="AJ23" i="54" s="1"/>
  <c r="AN23" i="54" s="1"/>
  <c r="BZ53" i="54"/>
  <c r="BR54" i="54"/>
  <c r="BQ54" i="54" s="1"/>
  <c r="BU54" i="54" s="1"/>
  <c r="BV54" i="54" s="1"/>
  <c r="BW54" i="54" s="1"/>
  <c r="BX54" i="54" s="1"/>
  <c r="BY54" i="54" s="1"/>
  <c r="DB52" i="54"/>
  <c r="DB84" i="54" s="1"/>
  <c r="DO23" i="54"/>
  <c r="CY23" i="54"/>
  <c r="CI23" i="54"/>
  <c r="CL52" i="54"/>
  <c r="CL84" i="54" s="1"/>
  <c r="BZ22" i="54"/>
  <c r="BR23" i="54"/>
  <c r="I60" i="54"/>
  <c r="G21" i="44"/>
  <c r="M108" i="13"/>
  <c r="D15" i="15"/>
  <c r="C29" i="10"/>
  <c r="I29" i="10" s="1"/>
  <c r="H92" i="13"/>
  <c r="F109" i="13"/>
  <c r="H109" i="13" s="1"/>
  <c r="L109" i="13" s="1"/>
  <c r="L81" i="13"/>
  <c r="E113" i="13"/>
  <c r="C113" i="13"/>
  <c r="D59" i="13"/>
  <c r="E59" i="13" s="1"/>
  <c r="M20" i="10"/>
  <c r="C48" i="1"/>
  <c r="CM52" i="54" l="1"/>
  <c r="BI52" i="54"/>
  <c r="DR52" i="54"/>
  <c r="DR84" i="54" s="1"/>
  <c r="DS52" i="54"/>
  <c r="DC52" i="54"/>
  <c r="AQ52" i="54"/>
  <c r="AQ84" i="54" s="1"/>
  <c r="CX23" i="54"/>
  <c r="CW23" i="54" s="1"/>
  <c r="DA23" i="54" s="1"/>
  <c r="DB23" i="54" s="1"/>
  <c r="DC23" i="54" s="1"/>
  <c r="DD23" i="54" s="1"/>
  <c r="DE23" i="54" s="1"/>
  <c r="DN23" i="54"/>
  <c r="DM23" i="54" s="1"/>
  <c r="DQ23" i="54" s="1"/>
  <c r="DR23" i="54" s="1"/>
  <c r="DS23" i="54" s="1"/>
  <c r="DT23" i="54" s="1"/>
  <c r="DU23" i="54" s="1"/>
  <c r="CH23" i="54"/>
  <c r="CG23" i="54" s="1"/>
  <c r="CK23" i="54" s="1"/>
  <c r="CL23" i="54" s="1"/>
  <c r="CM23" i="54" s="1"/>
  <c r="CN23" i="54" s="1"/>
  <c r="CO23" i="54" s="1"/>
  <c r="CN52" i="54"/>
  <c r="CN84" i="54" s="1"/>
  <c r="AO23" i="54"/>
  <c r="AP23" i="54" s="1"/>
  <c r="AQ23" i="54" s="1"/>
  <c r="AR23" i="54" s="1"/>
  <c r="AG23" i="54"/>
  <c r="BR55" i="54"/>
  <c r="BQ55" i="54" s="1"/>
  <c r="BU55" i="54" s="1"/>
  <c r="BV55" i="54" s="1"/>
  <c r="BW55" i="54" s="1"/>
  <c r="BX55" i="54" s="1"/>
  <c r="BY55" i="54" s="1"/>
  <c r="BZ54" i="54"/>
  <c r="V24" i="54"/>
  <c r="Y23" i="54"/>
  <c r="Z23" i="54" s="1"/>
  <c r="AA23" i="54" s="1"/>
  <c r="AB23" i="54" s="1"/>
  <c r="BI23" i="54"/>
  <c r="BQ23" i="54"/>
  <c r="BU23" i="54" s="1"/>
  <c r="T57" i="54"/>
  <c r="X57" i="54" s="1"/>
  <c r="Y57" i="54" s="1"/>
  <c r="Z57" i="54" s="1"/>
  <c r="AA57" i="54" s="1"/>
  <c r="AB57" i="54" s="1"/>
  <c r="J21" i="10"/>
  <c r="K21" i="10" s="1"/>
  <c r="C47" i="10"/>
  <c r="J60" i="54"/>
  <c r="J92" i="54" s="1"/>
  <c r="C16" i="15"/>
  <c r="I82" i="13"/>
  <c r="K82" i="13" s="1"/>
  <c r="G110" i="13" s="1"/>
  <c r="M109" i="13"/>
  <c r="D16" i="15"/>
  <c r="I109" i="13"/>
  <c r="J109" i="13" s="1"/>
  <c r="C30" i="10"/>
  <c r="I30" i="10" s="1"/>
  <c r="H93" i="13"/>
  <c r="G59" i="13"/>
  <c r="H59" i="13"/>
  <c r="C60" i="13"/>
  <c r="C49" i="1"/>
  <c r="AR52" i="54" l="1"/>
  <c r="CO52" i="54"/>
  <c r="DW24" i="54"/>
  <c r="DV23" i="54"/>
  <c r="AS52" i="54"/>
  <c r="AT53" i="54"/>
  <c r="AL53" i="54"/>
  <c r="AL85" i="54" s="1"/>
  <c r="AK53" i="54"/>
  <c r="AK85" i="54" s="1"/>
  <c r="AS84" i="54" s="1"/>
  <c r="AL24" i="54"/>
  <c r="BB24" i="54"/>
  <c r="DD52" i="54"/>
  <c r="DD84" i="54" s="1"/>
  <c r="AC23" i="54"/>
  <c r="U24" i="54"/>
  <c r="DT52" i="54"/>
  <c r="DT84" i="54" s="1"/>
  <c r="BZ55" i="54"/>
  <c r="BR56" i="54"/>
  <c r="BQ56" i="54" s="1"/>
  <c r="BU56" i="54" s="1"/>
  <c r="BV56" i="54" s="1"/>
  <c r="BW56" i="54" s="1"/>
  <c r="BX56" i="54" s="1"/>
  <c r="BY56" i="54" s="1"/>
  <c r="BA53" i="54"/>
  <c r="BS24" i="54"/>
  <c r="BV23" i="54"/>
  <c r="BW23" i="54" s="1"/>
  <c r="BX23" i="54" s="1"/>
  <c r="BY23" i="54" s="1"/>
  <c r="CD23" i="54" s="1"/>
  <c r="AT24" i="54"/>
  <c r="AS23" i="54"/>
  <c r="AC57" i="54"/>
  <c r="U58" i="54"/>
  <c r="T58" i="54" s="1"/>
  <c r="X58" i="54" s="1"/>
  <c r="Y58" i="54" s="1"/>
  <c r="Z58" i="54" s="1"/>
  <c r="AA58" i="54" s="1"/>
  <c r="AB58" i="54" s="1"/>
  <c r="BJ24" i="54"/>
  <c r="CP52" i="54"/>
  <c r="BJ53" i="54"/>
  <c r="DF23" i="54"/>
  <c r="DG24" i="54"/>
  <c r="CQ24" i="54"/>
  <c r="CP23" i="54"/>
  <c r="BB53" i="54"/>
  <c r="BB85" i="54" s="1"/>
  <c r="K60" i="54"/>
  <c r="BA130" i="33"/>
  <c r="J82" i="13"/>
  <c r="D110" i="13"/>
  <c r="C31" i="10"/>
  <c r="I31" i="10" s="1"/>
  <c r="H94" i="13"/>
  <c r="E114" i="13"/>
  <c r="C114" i="13"/>
  <c r="F60" i="13"/>
  <c r="K114" i="13" s="1"/>
  <c r="D60" i="13"/>
  <c r="G60" i="13" s="1"/>
  <c r="M21" i="10"/>
  <c r="C50" i="1"/>
  <c r="DU52" i="54" l="1"/>
  <c r="AJ53" i="54"/>
  <c r="AN53" i="54" s="1"/>
  <c r="AC58" i="54"/>
  <c r="U59" i="54"/>
  <c r="BZ56" i="54"/>
  <c r="BR57" i="54"/>
  <c r="DO24" i="54"/>
  <c r="CY24" i="54"/>
  <c r="CI24" i="54"/>
  <c r="DE52" i="54"/>
  <c r="DO53" i="54" s="1"/>
  <c r="DO85" i="54" s="1"/>
  <c r="AO53" i="54"/>
  <c r="AO85" i="54" s="1"/>
  <c r="DV52" i="54"/>
  <c r="BA85" i="54"/>
  <c r="BI84" i="54" s="1"/>
  <c r="AZ53" i="54"/>
  <c r="BD53" i="54" s="1"/>
  <c r="T24" i="54"/>
  <c r="X24" i="54" s="1"/>
  <c r="AK24" i="54"/>
  <c r="AJ24" i="54" s="1"/>
  <c r="AN24" i="54" s="1"/>
  <c r="BA24" i="54"/>
  <c r="AZ24" i="54" s="1"/>
  <c r="BD24" i="54" s="1"/>
  <c r="BE24" i="54" s="1"/>
  <c r="BF24" i="54" s="1"/>
  <c r="BG24" i="54" s="1"/>
  <c r="BH24" i="54" s="1"/>
  <c r="BZ23" i="54"/>
  <c r="BR24" i="54"/>
  <c r="J22" i="10"/>
  <c r="K22" i="10" s="1"/>
  <c r="L22" i="10" s="1"/>
  <c r="D49" i="10" s="1"/>
  <c r="C48" i="10"/>
  <c r="D61" i="54"/>
  <c r="D93" i="54" s="1"/>
  <c r="L92" i="54" s="1"/>
  <c r="L60" i="54"/>
  <c r="C32" i="10"/>
  <c r="I32" i="10" s="1"/>
  <c r="H95" i="13"/>
  <c r="F110" i="13"/>
  <c r="C17" i="15" s="1"/>
  <c r="L82" i="13"/>
  <c r="E60" i="13"/>
  <c r="Y24" i="54" l="1"/>
  <c r="Z24" i="54" s="1"/>
  <c r="AA24" i="54" s="1"/>
  <c r="AB24" i="54" s="1"/>
  <c r="V25" i="54"/>
  <c r="AG53" i="54"/>
  <c r="BE53" i="54"/>
  <c r="BE85" i="54" s="1"/>
  <c r="BF53" i="54"/>
  <c r="DG53" i="54"/>
  <c r="DF52" i="54"/>
  <c r="CY53" i="54"/>
  <c r="CY85" i="54" s="1"/>
  <c r="CX53" i="54"/>
  <c r="CX85" i="54" s="1"/>
  <c r="CH53" i="54"/>
  <c r="CQ53" i="54"/>
  <c r="CD52" i="54"/>
  <c r="CI53" i="54"/>
  <c r="CI85" i="54" s="1"/>
  <c r="DN53" i="54"/>
  <c r="BQ57" i="54"/>
  <c r="BU57" i="54" s="1"/>
  <c r="BV57" i="54" s="1"/>
  <c r="BW57" i="54" s="1"/>
  <c r="BX57" i="54" s="1"/>
  <c r="BY57" i="54" s="1"/>
  <c r="BQ24" i="54"/>
  <c r="BU24" i="54" s="1"/>
  <c r="CH24" i="54"/>
  <c r="CG24" i="54" s="1"/>
  <c r="CK24" i="54" s="1"/>
  <c r="CL24" i="54" s="1"/>
  <c r="CM24" i="54" s="1"/>
  <c r="CN24" i="54" s="1"/>
  <c r="CO24" i="54" s="1"/>
  <c r="DN24" i="54"/>
  <c r="DM24" i="54" s="1"/>
  <c r="DQ24" i="54" s="1"/>
  <c r="DR24" i="54" s="1"/>
  <c r="DS24" i="54" s="1"/>
  <c r="DT24" i="54" s="1"/>
  <c r="DU24" i="54" s="1"/>
  <c r="CX24" i="54"/>
  <c r="CW24" i="54" s="1"/>
  <c r="DA24" i="54" s="1"/>
  <c r="DW53" i="54"/>
  <c r="AG24" i="54"/>
  <c r="AO24" i="54"/>
  <c r="AP24" i="54" s="1"/>
  <c r="AQ24" i="54" s="1"/>
  <c r="AR24" i="54" s="1"/>
  <c r="BJ25" i="54" s="1"/>
  <c r="T59" i="54"/>
  <c r="X59" i="54" s="1"/>
  <c r="Y59" i="54" s="1"/>
  <c r="Z59" i="54" s="1"/>
  <c r="AA59" i="54" s="1"/>
  <c r="AB59" i="54" s="1"/>
  <c r="BI24" i="54"/>
  <c r="AP53" i="54"/>
  <c r="C61" i="54"/>
  <c r="G61" i="54" s="1"/>
  <c r="I83" i="13"/>
  <c r="K83" i="13" s="1"/>
  <c r="G111" i="13" s="1"/>
  <c r="H110" i="13"/>
  <c r="L110" i="13" s="1"/>
  <c r="H60" i="13"/>
  <c r="C61" i="13"/>
  <c r="F61" i="13" s="1"/>
  <c r="K115" i="13" s="1"/>
  <c r="O13" i="10"/>
  <c r="G40" i="10" s="1"/>
  <c r="M22" i="10"/>
  <c r="A20" i="4"/>
  <c r="A21" i="4" s="1"/>
  <c r="A22" i="4" s="1"/>
  <c r="A23" i="4" s="1"/>
  <c r="A24" i="4" s="1"/>
  <c r="A25" i="4" s="1"/>
  <c r="A26" i="4" s="1"/>
  <c r="A27" i="4" s="1"/>
  <c r="A28" i="4" s="1"/>
  <c r="A29" i="4" s="1"/>
  <c r="A30" i="4" s="1"/>
  <c r="A31" i="4" s="1"/>
  <c r="A32" i="4" s="1"/>
  <c r="A33" i="4" s="1"/>
  <c r="A34" i="4" s="1"/>
  <c r="A35" i="4" s="1"/>
  <c r="A36" i="4" s="1"/>
  <c r="A37" i="4" s="1"/>
  <c r="A38" i="4" s="1"/>
  <c r="H57" i="1"/>
  <c r="B109" i="2"/>
  <c r="B110" i="2"/>
  <c r="B111" i="2"/>
  <c r="B112" i="2"/>
  <c r="B113" i="2"/>
  <c r="B114" i="2"/>
  <c r="B115" i="2"/>
  <c r="B116" i="2"/>
  <c r="B117" i="2"/>
  <c r="B118" i="2"/>
  <c r="A100" i="2"/>
  <c r="A101" i="2" s="1"/>
  <c r="A102" i="2" s="1"/>
  <c r="A103" i="2" s="1"/>
  <c r="A104" i="2" s="1"/>
  <c r="A105" i="2" s="1"/>
  <c r="A106" i="2" s="1"/>
  <c r="A107" i="2" s="1"/>
  <c r="A108" i="2" s="1"/>
  <c r="A109" i="2" s="1"/>
  <c r="A110" i="2" s="1"/>
  <c r="A111" i="2" s="1"/>
  <c r="A112" i="2" s="1"/>
  <c r="A113" i="2" s="1"/>
  <c r="A114" i="2" s="1"/>
  <c r="A115" i="2" s="1"/>
  <c r="A116" i="2" s="1"/>
  <c r="A117" i="2" s="1"/>
  <c r="A118" i="2" s="1"/>
  <c r="A72" i="2"/>
  <c r="A73" i="2" s="1"/>
  <c r="A74" i="2" s="1"/>
  <c r="A75" i="2" s="1"/>
  <c r="A76" i="2" s="1"/>
  <c r="A77" i="2" s="1"/>
  <c r="A78" i="2" s="1"/>
  <c r="A79" i="2" s="1"/>
  <c r="A80" i="2" s="1"/>
  <c r="A81" i="2" s="1"/>
  <c r="A82" i="2" s="1"/>
  <c r="A83" i="2" s="1"/>
  <c r="A84" i="2" s="1"/>
  <c r="A85" i="2" s="1"/>
  <c r="A86" i="2" s="1"/>
  <c r="A87" i="2" s="1"/>
  <c r="A88" i="2" s="1"/>
  <c r="A89" i="2" s="1"/>
  <c r="A90" i="2" s="1"/>
  <c r="C22" i="7"/>
  <c r="C23" i="7"/>
  <c r="C24" i="7"/>
  <c r="C25" i="7"/>
  <c r="C26" i="7"/>
  <c r="C27" i="7"/>
  <c r="C28" i="7"/>
  <c r="C29" i="7"/>
  <c r="C30" i="7"/>
  <c r="C31" i="7"/>
  <c r="A13" i="7"/>
  <c r="A14" i="7" s="1"/>
  <c r="A15" i="7" s="1"/>
  <c r="A16" i="7" s="1"/>
  <c r="A17" i="7" s="1"/>
  <c r="A18" i="7" s="1"/>
  <c r="A19" i="7" s="1"/>
  <c r="A20" i="7" s="1"/>
  <c r="A21" i="7" s="1"/>
  <c r="A22" i="7" s="1"/>
  <c r="A23" i="7" s="1"/>
  <c r="A24" i="7" s="1"/>
  <c r="A25" i="7" s="1"/>
  <c r="A26" i="7" s="1"/>
  <c r="A27" i="7" s="1"/>
  <c r="A28" i="7" s="1"/>
  <c r="A29" i="7" s="1"/>
  <c r="A30" i="7" s="1"/>
  <c r="A31" i="7" s="1"/>
  <c r="A16" i="5"/>
  <c r="A17" i="5" s="1"/>
  <c r="A18" i="5" s="1"/>
  <c r="A19" i="5" s="1"/>
  <c r="A20" i="5" s="1"/>
  <c r="A21" i="5" s="1"/>
  <c r="A22" i="5" s="1"/>
  <c r="A23" i="5" s="1"/>
  <c r="A24" i="5" s="1"/>
  <c r="A25" i="5" s="1"/>
  <c r="A26" i="5" s="1"/>
  <c r="A27" i="5" s="1"/>
  <c r="A28" i="5" s="1"/>
  <c r="A29" i="5" s="1"/>
  <c r="A30" i="5" s="1"/>
  <c r="A31" i="5" s="1"/>
  <c r="A32" i="5" s="1"/>
  <c r="A33" i="5" s="1"/>
  <c r="A34" i="5" s="1"/>
  <c r="A14" i="6"/>
  <c r="A15" i="6" s="1"/>
  <c r="A16" i="6" s="1"/>
  <c r="A17" i="6" s="1"/>
  <c r="A18" i="6" s="1"/>
  <c r="A19" i="6" s="1"/>
  <c r="A20" i="6" s="1"/>
  <c r="A21" i="6" s="1"/>
  <c r="A22" i="6" s="1"/>
  <c r="A23" i="6" s="1"/>
  <c r="A24" i="6" s="1"/>
  <c r="A25" i="6" s="1"/>
  <c r="A26" i="6" s="1"/>
  <c r="A27" i="6" s="1"/>
  <c r="A28" i="6" s="1"/>
  <c r="A29" i="6" s="1"/>
  <c r="A30" i="6" s="1"/>
  <c r="A31" i="6" s="1"/>
  <c r="A32" i="6" s="1"/>
  <c r="A16" i="2"/>
  <c r="A17" i="2" s="1"/>
  <c r="A18" i="2" s="1"/>
  <c r="A19" i="2" s="1"/>
  <c r="A20" i="2" s="1"/>
  <c r="A21" i="2" s="1"/>
  <c r="A22" i="2" s="1"/>
  <c r="A23" i="2" s="1"/>
  <c r="A24" i="2" s="1"/>
  <c r="A25" i="2" s="1"/>
  <c r="A26" i="2" s="1"/>
  <c r="A27" i="2" s="1"/>
  <c r="A28" i="2" s="1"/>
  <c r="A29" i="2" s="1"/>
  <c r="A30" i="2" s="1"/>
  <c r="A31" i="2" s="1"/>
  <c r="A32" i="2" s="1"/>
  <c r="A33" i="2" s="1"/>
  <c r="A34" i="2" s="1"/>
  <c r="B32" i="1"/>
  <c r="DF84" i="54" l="1"/>
  <c r="CW53" i="54"/>
  <c r="DA53" i="54" s="1"/>
  <c r="CH85" i="54"/>
  <c r="CP84" i="54" s="1"/>
  <c r="CG53" i="54"/>
  <c r="CK53" i="54" s="1"/>
  <c r="DV24" i="54"/>
  <c r="BG53" i="54"/>
  <c r="BG85" i="54" s="1"/>
  <c r="CP24" i="54"/>
  <c r="BZ57" i="54"/>
  <c r="BR58" i="54"/>
  <c r="BQ58" i="54" s="1"/>
  <c r="BU58" i="54" s="1"/>
  <c r="BV58" i="54" s="1"/>
  <c r="BW58" i="54" s="1"/>
  <c r="BX58" i="54" s="1"/>
  <c r="BY58" i="54" s="1"/>
  <c r="U60" i="54"/>
  <c r="AC59" i="54"/>
  <c r="DN85" i="54"/>
  <c r="DV84" i="54" s="1"/>
  <c r="DM53" i="54"/>
  <c r="DQ53" i="54" s="1"/>
  <c r="DB24" i="54"/>
  <c r="DC24" i="54" s="1"/>
  <c r="DD24" i="54" s="1"/>
  <c r="DE24" i="54" s="1"/>
  <c r="DW25" i="54" s="1"/>
  <c r="BS25" i="54"/>
  <c r="BV24" i="54"/>
  <c r="BW24" i="54" s="1"/>
  <c r="BX24" i="54" s="1"/>
  <c r="BY24" i="54" s="1"/>
  <c r="AS24" i="54"/>
  <c r="AT25" i="54"/>
  <c r="AL25" i="54"/>
  <c r="BB25" i="54"/>
  <c r="AQ53" i="54"/>
  <c r="AQ85" i="54" s="1"/>
  <c r="U25" i="54"/>
  <c r="AC24" i="54"/>
  <c r="J23" i="10"/>
  <c r="C49" i="10"/>
  <c r="DH50" i="54"/>
  <c r="DI50" i="54" s="1"/>
  <c r="CR50" i="54"/>
  <c r="CS50" i="54" s="1"/>
  <c r="DH19" i="54"/>
  <c r="DI19" i="54" s="1"/>
  <c r="CR19" i="54"/>
  <c r="CS19" i="54" s="1"/>
  <c r="CB50" i="54"/>
  <c r="CC50" i="54" s="1"/>
  <c r="BK50" i="54"/>
  <c r="BL50" i="54" s="1"/>
  <c r="CB19" i="54"/>
  <c r="CC19" i="54" s="1"/>
  <c r="F20" i="58" s="1"/>
  <c r="AU50" i="54"/>
  <c r="AV50" i="54" s="1"/>
  <c r="BK19" i="54"/>
  <c r="BL19" i="54" s="1"/>
  <c r="AU19" i="54"/>
  <c r="AV19" i="54" s="1"/>
  <c r="AE50" i="54"/>
  <c r="AF50" i="54" s="1"/>
  <c r="N50" i="54"/>
  <c r="O50" i="54" s="1"/>
  <c r="AE19" i="54"/>
  <c r="AF19" i="54" s="1"/>
  <c r="N19" i="54"/>
  <c r="O19" i="54" s="1"/>
  <c r="E62" i="54"/>
  <c r="E94" i="54" s="1"/>
  <c r="H61" i="54"/>
  <c r="H93" i="54" s="1"/>
  <c r="F20" i="44"/>
  <c r="B33" i="1"/>
  <c r="B34" i="1" s="1"/>
  <c r="B35" i="1" s="1"/>
  <c r="B36" i="1" s="1"/>
  <c r="B37" i="1" s="1"/>
  <c r="B38" i="1" s="1"/>
  <c r="B39" i="1" s="1"/>
  <c r="B40" i="1" s="1"/>
  <c r="B41" i="1" s="1"/>
  <c r="B42" i="1" s="1"/>
  <c r="B43" i="1" s="1"/>
  <c r="B44" i="1" s="1"/>
  <c r="B45" i="1" s="1"/>
  <c r="B46" i="1" s="1"/>
  <c r="B47" i="1" s="1"/>
  <c r="B48" i="1" s="1"/>
  <c r="B49" i="1" s="1"/>
  <c r="B50" i="1" s="1"/>
  <c r="M110" i="13"/>
  <c r="D17" i="15"/>
  <c r="P13" i="10"/>
  <c r="H40" i="10" s="1"/>
  <c r="J83" i="13"/>
  <c r="D111" i="13"/>
  <c r="I110" i="13"/>
  <c r="J110" i="13" s="1"/>
  <c r="E115" i="13"/>
  <c r="C115" i="13"/>
  <c r="O14" i="10"/>
  <c r="G41" i="10" s="1"/>
  <c r="D61" i="13"/>
  <c r="E61" i="13" s="1"/>
  <c r="K23" i="10"/>
  <c r="H58" i="1"/>
  <c r="N45" i="2"/>
  <c r="C13" i="7"/>
  <c r="C14" i="7"/>
  <c r="C15" i="7"/>
  <c r="C16" i="7"/>
  <c r="C17" i="7"/>
  <c r="C18" i="7"/>
  <c r="C19" i="7"/>
  <c r="C20" i="7"/>
  <c r="C21" i="7"/>
  <c r="D17" i="1"/>
  <c r="CQ25" i="54" l="1"/>
  <c r="BH53" i="54"/>
  <c r="BA54" i="54" s="1"/>
  <c r="BA86" i="54" s="1"/>
  <c r="AR53" i="54"/>
  <c r="BZ24" i="54"/>
  <c r="BR25" i="54"/>
  <c r="DO25" i="54"/>
  <c r="CI25" i="54"/>
  <c r="CY25" i="54"/>
  <c r="CD24" i="54"/>
  <c r="BI53" i="54"/>
  <c r="BJ54" i="54"/>
  <c r="BB54" i="54"/>
  <c r="BB86" i="54" s="1"/>
  <c r="DR53" i="54"/>
  <c r="DR85" i="54" s="1"/>
  <c r="AS53" i="54"/>
  <c r="AL54" i="54"/>
  <c r="AL86" i="54" s="1"/>
  <c r="AT54" i="54"/>
  <c r="AK54" i="54"/>
  <c r="AK86" i="54" s="1"/>
  <c r="AS85" i="54" s="1"/>
  <c r="T60" i="54"/>
  <c r="X60" i="54" s="1"/>
  <c r="Y60" i="54" s="1"/>
  <c r="Z60" i="54" s="1"/>
  <c r="AA60" i="54" s="1"/>
  <c r="AB60" i="54" s="1"/>
  <c r="DF24" i="54"/>
  <c r="DG25" i="54"/>
  <c r="T25" i="54"/>
  <c r="X25" i="54" s="1"/>
  <c r="BA25" i="54"/>
  <c r="AZ25" i="54" s="1"/>
  <c r="BD25" i="54" s="1"/>
  <c r="BE25" i="54" s="1"/>
  <c r="BF25" i="54" s="1"/>
  <c r="BG25" i="54" s="1"/>
  <c r="BH25" i="54" s="1"/>
  <c r="AK25" i="54"/>
  <c r="AJ25" i="54" s="1"/>
  <c r="AN25" i="54" s="1"/>
  <c r="BZ58" i="54"/>
  <c r="BR59" i="54"/>
  <c r="BQ59" i="54" s="1"/>
  <c r="BU59" i="54" s="1"/>
  <c r="BV59" i="54" s="1"/>
  <c r="BW59" i="54" s="1"/>
  <c r="BX59" i="54" s="1"/>
  <c r="BY59" i="54" s="1"/>
  <c r="CL53" i="54"/>
  <c r="CL85" i="54" s="1"/>
  <c r="DB53" i="54"/>
  <c r="DB85" i="54" s="1"/>
  <c r="O15" i="10"/>
  <c r="G42" i="10" s="1"/>
  <c r="AU20" i="54"/>
  <c r="AV20" i="54" s="1"/>
  <c r="N51" i="54"/>
  <c r="O51" i="54" s="1"/>
  <c r="AE20" i="54"/>
  <c r="AF20" i="54" s="1"/>
  <c r="N20" i="54"/>
  <c r="O20" i="54" s="1"/>
  <c r="DX51" i="54"/>
  <c r="DY51" i="54" s="1"/>
  <c r="DH51" i="54"/>
  <c r="DI51" i="54" s="1"/>
  <c r="CR51" i="54"/>
  <c r="CS51" i="54" s="1"/>
  <c r="CB51" i="54"/>
  <c r="CC51" i="54" s="1"/>
  <c r="F21" i="44" s="1"/>
  <c r="BK51" i="54"/>
  <c r="BL51" i="54" s="1"/>
  <c r="DX20" i="54"/>
  <c r="DY20" i="54" s="1"/>
  <c r="DH20" i="54"/>
  <c r="DI20" i="54" s="1"/>
  <c r="AU51" i="54"/>
  <c r="AV51" i="54" s="1"/>
  <c r="CR20" i="54"/>
  <c r="CS20" i="54" s="1"/>
  <c r="CB20" i="54"/>
  <c r="CC20" i="54" s="1"/>
  <c r="F21" i="58" s="1"/>
  <c r="AE51" i="54"/>
  <c r="AF51" i="54" s="1"/>
  <c r="BK20" i="54"/>
  <c r="BL20" i="54" s="1"/>
  <c r="I61" i="54"/>
  <c r="J61" i="54"/>
  <c r="J93" i="54" s="1"/>
  <c r="C13" i="13"/>
  <c r="H34" i="46"/>
  <c r="I34" i="46" s="1"/>
  <c r="H26" i="46"/>
  <c r="I26" i="46" s="1"/>
  <c r="H33" i="46"/>
  <c r="I33" i="46" s="1"/>
  <c r="H32" i="46"/>
  <c r="I32" i="46" s="1"/>
  <c r="H35" i="46"/>
  <c r="I35" i="46" s="1"/>
  <c r="H28" i="46"/>
  <c r="I28" i="46" s="1"/>
  <c r="H27" i="46"/>
  <c r="I27" i="46" s="1"/>
  <c r="H31" i="46"/>
  <c r="I31" i="46" s="1"/>
  <c r="H30" i="46"/>
  <c r="I30" i="46" s="1"/>
  <c r="H29" i="46"/>
  <c r="I29" i="46" s="1"/>
  <c r="H18" i="46"/>
  <c r="I18" i="46" s="1"/>
  <c r="H17" i="46"/>
  <c r="I17" i="46" s="1"/>
  <c r="H16" i="46"/>
  <c r="I16" i="46" s="1"/>
  <c r="P14" i="10"/>
  <c r="H41" i="10" s="1"/>
  <c r="F111" i="13"/>
  <c r="H111" i="13" s="1"/>
  <c r="L111" i="13" s="1"/>
  <c r="L83" i="13"/>
  <c r="G61" i="13"/>
  <c r="H61" i="13"/>
  <c r="C62" i="13"/>
  <c r="M23" i="10"/>
  <c r="J24" i="10" s="1"/>
  <c r="H59" i="1"/>
  <c r="N46" i="2"/>
  <c r="B13" i="6"/>
  <c r="B100" i="2"/>
  <c r="B101" i="2"/>
  <c r="B102" i="2"/>
  <c r="B103" i="2"/>
  <c r="B104" i="2"/>
  <c r="B105" i="2"/>
  <c r="B106" i="2"/>
  <c r="B107" i="2"/>
  <c r="B108" i="2"/>
  <c r="D98" i="2"/>
  <c r="D14" i="2"/>
  <c r="O16" i="10" l="1"/>
  <c r="G43" i="10" s="1"/>
  <c r="BI85" i="54"/>
  <c r="DC53" i="54"/>
  <c r="AZ54" i="54"/>
  <c r="BD54" i="54" s="1"/>
  <c r="CM53" i="54"/>
  <c r="U61" i="54"/>
  <c r="T61" i="54" s="1"/>
  <c r="X61" i="54" s="1"/>
  <c r="Y61" i="54" s="1"/>
  <c r="Z61" i="54" s="1"/>
  <c r="AA61" i="54" s="1"/>
  <c r="AB61" i="54" s="1"/>
  <c r="AC60" i="54"/>
  <c r="BR60" i="54"/>
  <c r="BZ59" i="54"/>
  <c r="AJ54" i="54"/>
  <c r="AN54" i="54" s="1"/>
  <c r="AG25" i="54"/>
  <c r="AO25" i="54"/>
  <c r="AP25" i="54" s="1"/>
  <c r="AQ25" i="54" s="1"/>
  <c r="AR25" i="54" s="1"/>
  <c r="BJ26" i="54" s="1"/>
  <c r="BI25" i="54"/>
  <c r="BQ25" i="54"/>
  <c r="BU25" i="54" s="1"/>
  <c r="CH25" i="54"/>
  <c r="CG25" i="54" s="1"/>
  <c r="CK25" i="54" s="1"/>
  <c r="CL25" i="54" s="1"/>
  <c r="CM25" i="54" s="1"/>
  <c r="CN25" i="54" s="1"/>
  <c r="CO25" i="54" s="1"/>
  <c r="CX25" i="54"/>
  <c r="CW25" i="54" s="1"/>
  <c r="DA25" i="54" s="1"/>
  <c r="DB25" i="54" s="1"/>
  <c r="DC25" i="54" s="1"/>
  <c r="DD25" i="54" s="1"/>
  <c r="DE25" i="54" s="1"/>
  <c r="DN25" i="54"/>
  <c r="DM25" i="54" s="1"/>
  <c r="DQ25" i="54" s="1"/>
  <c r="DR25" i="54" s="1"/>
  <c r="DS25" i="54" s="1"/>
  <c r="DT25" i="54" s="1"/>
  <c r="DU25" i="54" s="1"/>
  <c r="Y25" i="54"/>
  <c r="Z25" i="54" s="1"/>
  <c r="AA25" i="54" s="1"/>
  <c r="AB25" i="54" s="1"/>
  <c r="V26" i="54"/>
  <c r="DS53" i="54"/>
  <c r="J19" i="58"/>
  <c r="I19" i="44" s="1"/>
  <c r="M19" i="58"/>
  <c r="D12" i="45" s="1"/>
  <c r="DX21" i="54"/>
  <c r="DY21" i="54" s="1"/>
  <c r="AE52" i="54"/>
  <c r="AF52" i="54" s="1"/>
  <c r="DH21" i="54"/>
  <c r="DI21" i="54" s="1"/>
  <c r="CR21" i="54"/>
  <c r="CS21" i="54" s="1"/>
  <c r="N52" i="54"/>
  <c r="O52" i="54" s="1"/>
  <c r="CB21" i="54"/>
  <c r="CC21" i="54" s="1"/>
  <c r="DX52" i="54"/>
  <c r="DY52" i="54" s="1"/>
  <c r="BK21" i="54"/>
  <c r="BL21" i="54" s="1"/>
  <c r="AU21" i="54"/>
  <c r="AV21" i="54" s="1"/>
  <c r="DH52" i="54"/>
  <c r="DI52" i="54" s="1"/>
  <c r="AE21" i="54"/>
  <c r="AF21" i="54" s="1"/>
  <c r="CR52" i="54"/>
  <c r="CS52" i="54" s="1"/>
  <c r="N21" i="54"/>
  <c r="O21" i="54" s="1"/>
  <c r="CB52" i="54"/>
  <c r="CC52" i="54" s="1"/>
  <c r="BK52" i="54"/>
  <c r="BL52" i="54" s="1"/>
  <c r="AU52" i="54"/>
  <c r="AV52" i="54" s="1"/>
  <c r="K61" i="54"/>
  <c r="L61" i="54" s="1"/>
  <c r="H19" i="46"/>
  <c r="I19" i="46" s="1"/>
  <c r="I84" i="13"/>
  <c r="K84" i="13" s="1"/>
  <c r="G112" i="13" s="1"/>
  <c r="C18" i="15"/>
  <c r="M111" i="13"/>
  <c r="D18" i="15"/>
  <c r="P15" i="10"/>
  <c r="H42" i="10" s="1"/>
  <c r="I111" i="13"/>
  <c r="J111" i="13" s="1"/>
  <c r="E116" i="13"/>
  <c r="C116" i="13"/>
  <c r="F62" i="13"/>
  <c r="K116" i="13" s="1"/>
  <c r="D62" i="13"/>
  <c r="G62" i="13" s="1"/>
  <c r="O17" i="10"/>
  <c r="G44" i="10" s="1"/>
  <c r="K24" i="10"/>
  <c r="H60" i="1"/>
  <c r="N47" i="2"/>
  <c r="E44" i="2"/>
  <c r="C19" i="57" s="1"/>
  <c r="H14" i="2"/>
  <c r="E10" i="11" s="1"/>
  <c r="H19" i="4"/>
  <c r="I19" i="57" s="1"/>
  <c r="C71" i="2"/>
  <c r="B15" i="2"/>
  <c r="F15" i="2" s="1"/>
  <c r="AG54" i="54" l="1"/>
  <c r="AO54" i="54"/>
  <c r="AO86" i="54" s="1"/>
  <c r="AC25" i="54"/>
  <c r="U26" i="54"/>
  <c r="DT53" i="54"/>
  <c r="DT85" i="54" s="1"/>
  <c r="DW26" i="54"/>
  <c r="DV25" i="54"/>
  <c r="DG26" i="54"/>
  <c r="DF25" i="54"/>
  <c r="BQ60" i="54"/>
  <c r="BU60" i="54" s="1"/>
  <c r="BV60" i="54" s="1"/>
  <c r="BW60" i="54" s="1"/>
  <c r="BX60" i="54" s="1"/>
  <c r="BY60" i="54" s="1"/>
  <c r="CP25" i="54"/>
  <c r="CQ26" i="54"/>
  <c r="AL26" i="54"/>
  <c r="BB26" i="54"/>
  <c r="U62" i="54"/>
  <c r="T62" i="54" s="1"/>
  <c r="X62" i="54" s="1"/>
  <c r="Y62" i="54" s="1"/>
  <c r="Z62" i="54" s="1"/>
  <c r="AA62" i="54" s="1"/>
  <c r="AB62" i="54" s="1"/>
  <c r="AC61" i="54"/>
  <c r="BV25" i="54"/>
  <c r="BW25" i="54" s="1"/>
  <c r="BX25" i="54" s="1"/>
  <c r="BY25" i="54" s="1"/>
  <c r="CD25" i="54" s="1"/>
  <c r="BS26" i="54"/>
  <c r="CN53" i="54"/>
  <c r="CN85" i="54" s="1"/>
  <c r="CO53" i="54"/>
  <c r="BE54" i="54"/>
  <c r="BE86" i="54" s="1"/>
  <c r="AT26" i="54"/>
  <c r="AS25" i="54"/>
  <c r="DD53" i="54"/>
  <c r="DD85" i="54" s="1"/>
  <c r="D62" i="54"/>
  <c r="D94" i="54" s="1"/>
  <c r="L93" i="54" s="1"/>
  <c r="H19" i="44"/>
  <c r="AE53" i="54"/>
  <c r="AF53" i="54" s="1"/>
  <c r="N53" i="54"/>
  <c r="O53" i="54" s="1"/>
  <c r="DX53" i="54"/>
  <c r="DY53" i="54" s="1"/>
  <c r="DX22" i="54"/>
  <c r="DY22" i="54" s="1"/>
  <c r="DH22" i="54"/>
  <c r="DI22" i="54" s="1"/>
  <c r="DH53" i="54"/>
  <c r="DI53" i="54" s="1"/>
  <c r="CR22" i="54"/>
  <c r="CS22" i="54" s="1"/>
  <c r="CB22" i="54"/>
  <c r="CC22" i="54" s="1"/>
  <c r="CR53" i="54"/>
  <c r="CS53" i="54" s="1"/>
  <c r="BK22" i="54"/>
  <c r="BL22" i="54" s="1"/>
  <c r="CB53" i="54"/>
  <c r="CC53" i="54" s="1"/>
  <c r="AU22" i="54"/>
  <c r="AV22" i="54" s="1"/>
  <c r="AE22" i="54"/>
  <c r="AF22" i="54" s="1"/>
  <c r="BK53" i="54"/>
  <c r="BL53" i="54" s="1"/>
  <c r="N22" i="54"/>
  <c r="O22" i="54" s="1"/>
  <c r="AU53" i="54"/>
  <c r="AV53" i="54" s="1"/>
  <c r="H20" i="46"/>
  <c r="I20" i="46" s="1"/>
  <c r="BA131" i="33"/>
  <c r="E12" i="45"/>
  <c r="D19" i="4"/>
  <c r="P16" i="10"/>
  <c r="H43" i="10" s="1"/>
  <c r="D11" i="8"/>
  <c r="C12" i="8" s="1"/>
  <c r="Q12" i="10"/>
  <c r="J84" i="13"/>
  <c r="D112" i="13"/>
  <c r="E62" i="13"/>
  <c r="O18" i="10"/>
  <c r="G45" i="10" s="1"/>
  <c r="M24" i="10"/>
  <c r="J25" i="10" s="1"/>
  <c r="E70" i="2"/>
  <c r="H61" i="1"/>
  <c r="N48" i="2"/>
  <c r="B44" i="2"/>
  <c r="C11" i="11" s="1"/>
  <c r="C15" i="2"/>
  <c r="G15" i="2" s="1"/>
  <c r="M44" i="2" s="1"/>
  <c r="O44" i="2" s="1"/>
  <c r="E19" i="57" s="1"/>
  <c r="E12" i="7"/>
  <c r="C62" i="54" l="1"/>
  <c r="G62" i="54" s="1"/>
  <c r="DE53" i="54"/>
  <c r="DU53" i="54"/>
  <c r="AP54" i="54"/>
  <c r="DF53" i="54"/>
  <c r="CY54" i="54"/>
  <c r="CY86" i="54" s="1"/>
  <c r="DG54" i="54"/>
  <c r="CX54" i="54"/>
  <c r="CX86" i="54" s="1"/>
  <c r="U63" i="54"/>
  <c r="T63" i="54" s="1"/>
  <c r="X63" i="54" s="1"/>
  <c r="Y63" i="54" s="1"/>
  <c r="Z63" i="54" s="1"/>
  <c r="AA63" i="54" s="1"/>
  <c r="AB63" i="54" s="1"/>
  <c r="AC62" i="54"/>
  <c r="BF54" i="54"/>
  <c r="DO54" i="54"/>
  <c r="DO86" i="54" s="1"/>
  <c r="CP53" i="54"/>
  <c r="CD53" i="54"/>
  <c r="CI54" i="54"/>
  <c r="CI86" i="54" s="1"/>
  <c r="CQ54" i="54"/>
  <c r="CH54" i="54"/>
  <c r="CH86" i="54" s="1"/>
  <c r="T26" i="54"/>
  <c r="X26" i="54" s="1"/>
  <c r="BA26" i="54"/>
  <c r="AZ26" i="54" s="1"/>
  <c r="BD26" i="54" s="1"/>
  <c r="BE26" i="54" s="1"/>
  <c r="BF26" i="54" s="1"/>
  <c r="BG26" i="54" s="1"/>
  <c r="BH26" i="54" s="1"/>
  <c r="AK26" i="54"/>
  <c r="AJ26" i="54" s="1"/>
  <c r="AN26" i="54" s="1"/>
  <c r="CI26" i="54"/>
  <c r="DO26" i="54"/>
  <c r="CY26" i="54"/>
  <c r="AQ54" i="54"/>
  <c r="AQ86" i="54" s="1"/>
  <c r="BZ25" i="54"/>
  <c r="BR26" i="54"/>
  <c r="BZ60" i="54"/>
  <c r="BR61" i="54"/>
  <c r="BQ61" i="54" s="1"/>
  <c r="BU61" i="54" s="1"/>
  <c r="BV61" i="54" s="1"/>
  <c r="BW61" i="54" s="1"/>
  <c r="BX61" i="54" s="1"/>
  <c r="BY61" i="54" s="1"/>
  <c r="AU23" i="54"/>
  <c r="AV23" i="54" s="1"/>
  <c r="AE54" i="54"/>
  <c r="AF54" i="54" s="1"/>
  <c r="AE23" i="54"/>
  <c r="AF23" i="54" s="1"/>
  <c r="N54" i="54"/>
  <c r="O54" i="54" s="1"/>
  <c r="N23" i="54"/>
  <c r="O23" i="54" s="1"/>
  <c r="DX54" i="54"/>
  <c r="DH54" i="54"/>
  <c r="CR54" i="54"/>
  <c r="DX23" i="54"/>
  <c r="DY23" i="54" s="1"/>
  <c r="CB54" i="54"/>
  <c r="CC54" i="54" s="1"/>
  <c r="DH23" i="54"/>
  <c r="DI23" i="54" s="1"/>
  <c r="CR23" i="54"/>
  <c r="CS23" i="54" s="1"/>
  <c r="BK54" i="54"/>
  <c r="BL54" i="54" s="1"/>
  <c r="CB23" i="54"/>
  <c r="CC23" i="54" s="1"/>
  <c r="AU54" i="54"/>
  <c r="AV54" i="54" s="1"/>
  <c r="BK23" i="54"/>
  <c r="BL23" i="54" s="1"/>
  <c r="H62" i="54"/>
  <c r="H94" i="54" s="1"/>
  <c r="E63" i="54"/>
  <c r="E95" i="54" s="1"/>
  <c r="H21" i="46"/>
  <c r="I21" i="46" s="1"/>
  <c r="P17" i="10"/>
  <c r="H44" i="10" s="1"/>
  <c r="D11" i="11"/>
  <c r="D31" i="11" s="1"/>
  <c r="F112" i="13"/>
  <c r="H112" i="13" s="1"/>
  <c r="L84" i="13"/>
  <c r="H62" i="13"/>
  <c r="C63" i="13"/>
  <c r="F63" i="13" s="1"/>
  <c r="K117" i="13" s="1"/>
  <c r="O19" i="10"/>
  <c r="G46" i="10" s="1"/>
  <c r="K25" i="10"/>
  <c r="H62" i="1"/>
  <c r="N49" i="2"/>
  <c r="H15" i="2"/>
  <c r="E11" i="11" s="1"/>
  <c r="F44" i="2"/>
  <c r="D19" i="57" s="1"/>
  <c r="B19" i="4"/>
  <c r="B71" i="2"/>
  <c r="D71" i="2" s="1"/>
  <c r="D15" i="2"/>
  <c r="DF85" i="54" l="1"/>
  <c r="DW54" i="54"/>
  <c r="DN54" i="54"/>
  <c r="DN86" i="54" s="1"/>
  <c r="DV85" i="54" s="1"/>
  <c r="DV53" i="54"/>
  <c r="AR54" i="54"/>
  <c r="CS54" i="54"/>
  <c r="DI54" i="54"/>
  <c r="U64" i="54"/>
  <c r="AC63" i="54"/>
  <c r="T64" i="54"/>
  <c r="X64" i="54" s="1"/>
  <c r="Y64" i="54" s="1"/>
  <c r="Z64" i="54" s="1"/>
  <c r="AA64" i="54" s="1"/>
  <c r="AB64" i="54" s="1"/>
  <c r="BI26" i="54"/>
  <c r="Y26" i="54"/>
  <c r="Z26" i="54" s="1"/>
  <c r="AA26" i="54" s="1"/>
  <c r="AB26" i="54" s="1"/>
  <c r="V27" i="54"/>
  <c r="BG54" i="54"/>
  <c r="BG86" i="54" s="1"/>
  <c r="BR62" i="54"/>
  <c r="BQ62" i="54" s="1"/>
  <c r="BU62" i="54" s="1"/>
  <c r="BV62" i="54" s="1"/>
  <c r="BW62" i="54" s="1"/>
  <c r="BX62" i="54" s="1"/>
  <c r="BY62" i="54" s="1"/>
  <c r="BZ61" i="54"/>
  <c r="CP85" i="54"/>
  <c r="AO26" i="54"/>
  <c r="AP26" i="54" s="1"/>
  <c r="AQ26" i="54" s="1"/>
  <c r="AR26" i="54" s="1"/>
  <c r="BJ27" i="54" s="1"/>
  <c r="AG26" i="54"/>
  <c r="CG54" i="54"/>
  <c r="CK54" i="54" s="1"/>
  <c r="BQ26" i="54"/>
  <c r="BU26" i="54" s="1"/>
  <c r="DN26" i="54"/>
  <c r="DM26" i="54" s="1"/>
  <c r="DQ26" i="54" s="1"/>
  <c r="DR26" i="54" s="1"/>
  <c r="DS26" i="54" s="1"/>
  <c r="DT26" i="54" s="1"/>
  <c r="DU26" i="54" s="1"/>
  <c r="CH26" i="54"/>
  <c r="CG26" i="54" s="1"/>
  <c r="CK26" i="54" s="1"/>
  <c r="CL26" i="54" s="1"/>
  <c r="CM26" i="54" s="1"/>
  <c r="CN26" i="54" s="1"/>
  <c r="CO26" i="54" s="1"/>
  <c r="CX26" i="54"/>
  <c r="CW26" i="54" s="1"/>
  <c r="DA26" i="54" s="1"/>
  <c r="DB26" i="54" s="1"/>
  <c r="DC26" i="54" s="1"/>
  <c r="DD26" i="54" s="1"/>
  <c r="DE26" i="54" s="1"/>
  <c r="DY54" i="54"/>
  <c r="CW54" i="54"/>
  <c r="DA54" i="54" s="1"/>
  <c r="AS54" i="54"/>
  <c r="DM54" i="54"/>
  <c r="DQ54" i="54" s="1"/>
  <c r="DH24" i="54"/>
  <c r="DI24" i="54" s="1"/>
  <c r="AE55" i="54"/>
  <c r="AF55" i="54" s="1"/>
  <c r="CR24" i="54"/>
  <c r="CS24" i="54" s="1"/>
  <c r="CB24" i="54"/>
  <c r="CC24" i="54" s="1"/>
  <c r="N55" i="54"/>
  <c r="O55" i="54" s="1"/>
  <c r="BK24" i="54"/>
  <c r="BL24" i="54" s="1"/>
  <c r="DX55" i="54"/>
  <c r="AU24" i="54"/>
  <c r="AV24" i="54" s="1"/>
  <c r="AE24" i="54"/>
  <c r="AF24" i="54" s="1"/>
  <c r="DH55" i="54"/>
  <c r="N24" i="54"/>
  <c r="O24" i="54" s="1"/>
  <c r="CR55" i="54"/>
  <c r="CB55" i="54"/>
  <c r="CC55" i="54" s="1"/>
  <c r="BK55" i="54"/>
  <c r="AU55" i="54"/>
  <c r="DX24" i="54"/>
  <c r="DY24" i="54" s="1"/>
  <c r="G19" i="4"/>
  <c r="L19" i="57" s="1"/>
  <c r="J20" i="58"/>
  <c r="I20" i="44" s="1"/>
  <c r="M20" i="58"/>
  <c r="H20" i="44" s="1"/>
  <c r="I62" i="54"/>
  <c r="H22" i="46"/>
  <c r="I22" i="46" s="1"/>
  <c r="P18" i="10"/>
  <c r="H45" i="10" s="1"/>
  <c r="C12" i="45"/>
  <c r="D44" i="2"/>
  <c r="E45" i="2"/>
  <c r="C20" i="57" s="1"/>
  <c r="D12" i="8"/>
  <c r="C13" i="8" s="1"/>
  <c r="I85" i="13"/>
  <c r="K85" i="13" s="1"/>
  <c r="G113" i="13" s="1"/>
  <c r="C19" i="15"/>
  <c r="Q13" i="10"/>
  <c r="R13" i="10" s="1"/>
  <c r="I112" i="13"/>
  <c r="J112" i="13" s="1"/>
  <c r="L112" i="13"/>
  <c r="E117" i="13"/>
  <c r="C117" i="13"/>
  <c r="D63" i="13"/>
  <c r="G63" i="13" s="1"/>
  <c r="O20" i="10"/>
  <c r="G47" i="10" s="1"/>
  <c r="M25" i="10"/>
  <c r="J26" i="10" s="1"/>
  <c r="B99" i="2"/>
  <c r="H63" i="1"/>
  <c r="N50" i="2"/>
  <c r="E71" i="2"/>
  <c r="B45" i="2"/>
  <c r="C12" i="11" s="1"/>
  <c r="C12" i="7"/>
  <c r="B12" i="7"/>
  <c r="I19" i="4"/>
  <c r="J19" i="57" s="1"/>
  <c r="H20" i="4"/>
  <c r="I20" i="57" s="1"/>
  <c r="B16" i="2"/>
  <c r="F16" i="2" s="1"/>
  <c r="BH54" i="54" l="1"/>
  <c r="AL55" i="54" s="1"/>
  <c r="AL87" i="54" s="1"/>
  <c r="BZ62" i="54"/>
  <c r="BR63" i="54"/>
  <c r="BQ63" i="54" s="1"/>
  <c r="BU63" i="54" s="1"/>
  <c r="BV63" i="54" s="1"/>
  <c r="BW63" i="54" s="1"/>
  <c r="BX63" i="54" s="1"/>
  <c r="BY63" i="54" s="1"/>
  <c r="DB54" i="54"/>
  <c r="DB86" i="54" s="1"/>
  <c r="BI54" i="54"/>
  <c r="BJ55" i="54"/>
  <c r="BL55" i="54" s="1"/>
  <c r="BB55" i="54"/>
  <c r="BB87" i="54" s="1"/>
  <c r="BA55" i="54"/>
  <c r="BA87" i="54" s="1"/>
  <c r="DF26" i="54"/>
  <c r="DG27" i="54"/>
  <c r="CQ27" i="54"/>
  <c r="CP26" i="54"/>
  <c r="AL27" i="54"/>
  <c r="BB27" i="54"/>
  <c r="DR54" i="54"/>
  <c r="DR86" i="54" s="1"/>
  <c r="DV26" i="54"/>
  <c r="DW27" i="54"/>
  <c r="AC26" i="54"/>
  <c r="U27" i="54"/>
  <c r="BV26" i="54"/>
  <c r="BW26" i="54" s="1"/>
  <c r="BX26" i="54" s="1"/>
  <c r="BY26" i="54" s="1"/>
  <c r="BS27" i="54"/>
  <c r="AK55" i="54"/>
  <c r="CL54" i="54"/>
  <c r="CL86" i="54" s="1"/>
  <c r="U65" i="54"/>
  <c r="T65" i="54" s="1"/>
  <c r="X65" i="54" s="1"/>
  <c r="Y65" i="54" s="1"/>
  <c r="Z65" i="54" s="1"/>
  <c r="AA65" i="54" s="1"/>
  <c r="AB65" i="54" s="1"/>
  <c r="AC64" i="54"/>
  <c r="AS26" i="54"/>
  <c r="AT27" i="54"/>
  <c r="AT55" i="54"/>
  <c r="AV55" i="54" s="1"/>
  <c r="D12" i="7"/>
  <c r="D13" i="45"/>
  <c r="P19" i="10"/>
  <c r="H46" i="10" s="1"/>
  <c r="AE56" i="54"/>
  <c r="AF56" i="54" s="1"/>
  <c r="N56" i="54"/>
  <c r="O56" i="54" s="1"/>
  <c r="DX25" i="54"/>
  <c r="DY25" i="54" s="1"/>
  <c r="DX56" i="54"/>
  <c r="DH25" i="54"/>
  <c r="DI25" i="54" s="1"/>
  <c r="CR25" i="54"/>
  <c r="CS25" i="54" s="1"/>
  <c r="DH56" i="54"/>
  <c r="CB25" i="54"/>
  <c r="CC25" i="54" s="1"/>
  <c r="CR56" i="54"/>
  <c r="BK25" i="54"/>
  <c r="BL25" i="54" s="1"/>
  <c r="AU25" i="54"/>
  <c r="AV25" i="54" s="1"/>
  <c r="CB56" i="54"/>
  <c r="CC56" i="54" s="1"/>
  <c r="AE25" i="54"/>
  <c r="AF25" i="54" s="1"/>
  <c r="BK56" i="54"/>
  <c r="N25" i="54"/>
  <c r="O25" i="54" s="1"/>
  <c r="AU56" i="54"/>
  <c r="C44" i="2"/>
  <c r="G19" i="57" s="1"/>
  <c r="F19" i="57"/>
  <c r="J62" i="54"/>
  <c r="J94" i="54" s="1"/>
  <c r="H23" i="46"/>
  <c r="I23" i="46" s="1"/>
  <c r="E13" i="45"/>
  <c r="F12" i="45"/>
  <c r="G12" i="45" s="1"/>
  <c r="B19" i="58" s="1"/>
  <c r="L19" i="58" s="1"/>
  <c r="D20" i="4"/>
  <c r="M112" i="13"/>
  <c r="D19" i="15"/>
  <c r="J85" i="13"/>
  <c r="F113" i="13" s="1"/>
  <c r="D113" i="13"/>
  <c r="T13" i="10"/>
  <c r="S13" i="10"/>
  <c r="F45" i="2"/>
  <c r="D20" i="57" s="1"/>
  <c r="E63" i="13"/>
  <c r="O21" i="10"/>
  <c r="G48" i="10" s="1"/>
  <c r="K26" i="10"/>
  <c r="H64" i="1"/>
  <c r="N51" i="2"/>
  <c r="B72" i="2"/>
  <c r="B20" i="4"/>
  <c r="G20" i="4" s="1"/>
  <c r="L20" i="57" s="1"/>
  <c r="F12" i="7"/>
  <c r="G12" i="7" s="1"/>
  <c r="E13" i="7"/>
  <c r="C16" i="2"/>
  <c r="G16" i="2" s="1"/>
  <c r="M45" i="2" s="1"/>
  <c r="O45" i="2" s="1"/>
  <c r="E20" i="57" s="1"/>
  <c r="DC54" i="54" l="1"/>
  <c r="P20" i="10"/>
  <c r="H47" i="10" s="1"/>
  <c r="G44" i="2"/>
  <c r="H44" i="2" s="1"/>
  <c r="H19" i="57" s="1"/>
  <c r="U66" i="54"/>
  <c r="T66" i="54" s="1"/>
  <c r="X66" i="54" s="1"/>
  <c r="Y66" i="54" s="1"/>
  <c r="Z66" i="54" s="1"/>
  <c r="AA66" i="54" s="1"/>
  <c r="AB66" i="54" s="1"/>
  <c r="AC65" i="54"/>
  <c r="BZ63" i="54"/>
  <c r="BR64" i="54"/>
  <c r="BQ64" i="54" s="1"/>
  <c r="BU64" i="54" s="1"/>
  <c r="BV64" i="54" s="1"/>
  <c r="BW64" i="54" s="1"/>
  <c r="BX64" i="54" s="1"/>
  <c r="BY64" i="54" s="1"/>
  <c r="CM54" i="54"/>
  <c r="AZ55" i="54"/>
  <c r="BD55" i="54" s="1"/>
  <c r="AK87" i="54"/>
  <c r="AS86" i="54" s="1"/>
  <c r="AJ55" i="54"/>
  <c r="AN55" i="54" s="1"/>
  <c r="CY27" i="54"/>
  <c r="DO27" i="54"/>
  <c r="CI27" i="54"/>
  <c r="BZ26" i="54"/>
  <c r="BR27" i="54"/>
  <c r="CD26" i="54"/>
  <c r="DD54" i="54"/>
  <c r="DD86" i="54" s="1"/>
  <c r="T27" i="54"/>
  <c r="X27" i="54" s="1"/>
  <c r="BA27" i="54"/>
  <c r="AZ27" i="54" s="1"/>
  <c r="BD27" i="54" s="1"/>
  <c r="BE27" i="54" s="1"/>
  <c r="BF27" i="54" s="1"/>
  <c r="BG27" i="54" s="1"/>
  <c r="BH27" i="54" s="1"/>
  <c r="AK27" i="54"/>
  <c r="AJ27" i="54" s="1"/>
  <c r="AN27" i="54" s="1"/>
  <c r="DS54" i="54"/>
  <c r="BI86" i="54"/>
  <c r="AE26" i="54"/>
  <c r="AF26" i="54" s="1"/>
  <c r="AE57" i="54"/>
  <c r="AF57" i="54" s="1"/>
  <c r="N26" i="54"/>
  <c r="O26" i="54" s="1"/>
  <c r="N57" i="54"/>
  <c r="O57" i="54" s="1"/>
  <c r="DX57" i="54"/>
  <c r="DH57" i="54"/>
  <c r="CR57" i="54"/>
  <c r="DX26" i="54"/>
  <c r="DY26" i="54" s="1"/>
  <c r="DH26" i="54"/>
  <c r="DI26" i="54" s="1"/>
  <c r="CB57" i="54"/>
  <c r="CC57" i="54" s="1"/>
  <c r="CR26" i="54"/>
  <c r="CS26" i="54" s="1"/>
  <c r="CB26" i="54"/>
  <c r="CC26" i="54" s="1"/>
  <c r="BK57" i="54"/>
  <c r="BK26" i="54"/>
  <c r="BL26" i="54" s="1"/>
  <c r="AU57" i="54"/>
  <c r="AU26" i="54"/>
  <c r="AV26" i="54" s="1"/>
  <c r="K62" i="54"/>
  <c r="H24" i="46"/>
  <c r="I24" i="46" s="1"/>
  <c r="D13" i="7"/>
  <c r="C19" i="44"/>
  <c r="C19" i="4"/>
  <c r="B19" i="57" s="1"/>
  <c r="K19" i="57" s="1"/>
  <c r="I20" i="4"/>
  <c r="C20" i="15"/>
  <c r="H113" i="13"/>
  <c r="L113" i="13" s="1"/>
  <c r="L85" i="13"/>
  <c r="H63" i="13"/>
  <c r="C64" i="13"/>
  <c r="O22" i="10"/>
  <c r="G49" i="10" s="1"/>
  <c r="P21" i="10"/>
  <c r="H48" i="10" s="1"/>
  <c r="H65" i="1"/>
  <c r="N52" i="2"/>
  <c r="H16" i="2"/>
  <c r="E12" i="11" s="1"/>
  <c r="B13" i="7"/>
  <c r="D16" i="2"/>
  <c r="H12" i="7"/>
  <c r="I44" i="2" l="1"/>
  <c r="J44" i="2" s="1"/>
  <c r="AG27" i="54"/>
  <c r="AO27" i="54"/>
  <c r="AP27" i="54" s="1"/>
  <c r="AQ27" i="54" s="1"/>
  <c r="AR27" i="54" s="1"/>
  <c r="BI27" i="54"/>
  <c r="BJ28" i="54"/>
  <c r="BL28" i="54" s="1"/>
  <c r="AG55" i="54"/>
  <c r="AO55" i="54"/>
  <c r="AO87" i="54" s="1"/>
  <c r="V28" i="54"/>
  <c r="Y27" i="54"/>
  <c r="Z27" i="54" s="1"/>
  <c r="AA27" i="54" s="1"/>
  <c r="AB27" i="54" s="1"/>
  <c r="BE55" i="54"/>
  <c r="BE87" i="54" s="1"/>
  <c r="DE54" i="54"/>
  <c r="CN54" i="54"/>
  <c r="CN86" i="54" s="1"/>
  <c r="BZ64" i="54"/>
  <c r="BR65" i="54"/>
  <c r="BQ65" i="54" s="1"/>
  <c r="BU65" i="54" s="1"/>
  <c r="BV65" i="54" s="1"/>
  <c r="BW65" i="54" s="1"/>
  <c r="BX65" i="54" s="1"/>
  <c r="BY65" i="54" s="1"/>
  <c r="BQ27" i="54"/>
  <c r="BU27" i="54" s="1"/>
  <c r="CH27" i="54"/>
  <c r="CG27" i="54" s="1"/>
  <c r="CK27" i="54" s="1"/>
  <c r="CL27" i="54" s="1"/>
  <c r="CM27" i="54" s="1"/>
  <c r="CN27" i="54" s="1"/>
  <c r="CO27" i="54" s="1"/>
  <c r="CX27" i="54"/>
  <c r="CW27" i="54" s="1"/>
  <c r="DA27" i="54" s="1"/>
  <c r="DB27" i="54" s="1"/>
  <c r="DC27" i="54" s="1"/>
  <c r="DD27" i="54" s="1"/>
  <c r="DE27" i="54" s="1"/>
  <c r="DN27" i="54"/>
  <c r="DM27" i="54" s="1"/>
  <c r="DQ27" i="54" s="1"/>
  <c r="DR27" i="54" s="1"/>
  <c r="DS27" i="54" s="1"/>
  <c r="DT27" i="54" s="1"/>
  <c r="DU27" i="54" s="1"/>
  <c r="DT54" i="54"/>
  <c r="DT86" i="54" s="1"/>
  <c r="AC66" i="54"/>
  <c r="U67" i="54"/>
  <c r="T67" i="54" s="1"/>
  <c r="X67" i="54" s="1"/>
  <c r="Y67" i="54" s="1"/>
  <c r="Z67" i="54" s="1"/>
  <c r="AA67" i="54" s="1"/>
  <c r="AB67" i="54" s="1"/>
  <c r="CR27" i="54"/>
  <c r="CS27" i="54" s="1"/>
  <c r="AE58" i="54"/>
  <c r="AF58" i="54" s="1"/>
  <c r="CB27" i="54"/>
  <c r="CC27" i="54" s="1"/>
  <c r="N58" i="54"/>
  <c r="O58" i="54" s="1"/>
  <c r="BK27" i="54"/>
  <c r="BL27" i="54" s="1"/>
  <c r="AU27" i="54"/>
  <c r="AV27" i="54" s="1"/>
  <c r="DX58" i="54"/>
  <c r="AE27" i="54"/>
  <c r="AF27" i="54" s="1"/>
  <c r="DH58" i="54"/>
  <c r="N27" i="54"/>
  <c r="O27" i="54" s="1"/>
  <c r="CR58" i="54"/>
  <c r="CB58" i="54"/>
  <c r="CC58" i="54" s="1"/>
  <c r="BK58" i="54"/>
  <c r="DX27" i="54"/>
  <c r="DY27" i="54" s="1"/>
  <c r="AU58" i="54"/>
  <c r="DH27" i="54"/>
  <c r="DI27" i="54" s="1"/>
  <c r="J21" i="58"/>
  <c r="I21" i="44" s="1"/>
  <c r="M21" i="58"/>
  <c r="L62" i="54"/>
  <c r="D63" i="54"/>
  <c r="D95" i="54" s="1"/>
  <c r="L94" i="54" s="1"/>
  <c r="F13" i="7"/>
  <c r="J20" i="57"/>
  <c r="H25" i="46"/>
  <c r="I25" i="46" s="1"/>
  <c r="F13" i="45"/>
  <c r="E19" i="4"/>
  <c r="I12" i="7" s="1"/>
  <c r="J12" i="45"/>
  <c r="N53" i="2"/>
  <c r="D13" i="8"/>
  <c r="C14" i="8" s="1"/>
  <c r="I86" i="13"/>
  <c r="K86" i="13" s="1"/>
  <c r="G114" i="13" s="1"/>
  <c r="I113" i="13"/>
  <c r="J113" i="13" s="1"/>
  <c r="M113" i="13"/>
  <c r="D20" i="15"/>
  <c r="E72" i="2"/>
  <c r="Q14" i="10"/>
  <c r="R14" i="10" s="1"/>
  <c r="E118" i="13"/>
  <c r="C118" i="13"/>
  <c r="F64" i="13"/>
  <c r="K118" i="13" s="1"/>
  <c r="D64" i="13"/>
  <c r="G64" i="13" s="1"/>
  <c r="P22" i="10"/>
  <c r="H49" i="10" s="1"/>
  <c r="M26" i="10"/>
  <c r="J27" i="10" s="1"/>
  <c r="K44" i="2"/>
  <c r="E46" i="2"/>
  <c r="C21" i="57" s="1"/>
  <c r="B46" i="2"/>
  <c r="C13" i="11" s="1"/>
  <c r="H21" i="4"/>
  <c r="I21" i="57" s="1"/>
  <c r="B17" i="2"/>
  <c r="CO54" i="54" l="1"/>
  <c r="AP55" i="54"/>
  <c r="DU54" i="54"/>
  <c r="CP27" i="54"/>
  <c r="CQ28" i="54"/>
  <c r="CS28" i="54" s="1"/>
  <c r="AL28" i="54"/>
  <c r="BB28" i="54"/>
  <c r="BV27" i="54"/>
  <c r="BW27" i="54" s="1"/>
  <c r="BX27" i="54" s="1"/>
  <c r="BY27" i="54" s="1"/>
  <c r="BS28" i="54"/>
  <c r="BZ65" i="54"/>
  <c r="BR66" i="54"/>
  <c r="BQ66" i="54" s="1"/>
  <c r="BU66" i="54" s="1"/>
  <c r="BV66" i="54" s="1"/>
  <c r="BW66" i="54" s="1"/>
  <c r="BX66" i="54" s="1"/>
  <c r="BY66" i="54" s="1"/>
  <c r="AQ55" i="54"/>
  <c r="AQ87" i="54" s="1"/>
  <c r="U28" i="54"/>
  <c r="AC27" i="54"/>
  <c r="U68" i="54"/>
  <c r="T68" i="54" s="1"/>
  <c r="X68" i="54" s="1"/>
  <c r="Y68" i="54" s="1"/>
  <c r="Z68" i="54" s="1"/>
  <c r="AA68" i="54" s="1"/>
  <c r="AB68" i="54" s="1"/>
  <c r="AC68" i="54" s="1"/>
  <c r="AC67" i="54"/>
  <c r="CP54" i="54"/>
  <c r="CD54" i="54"/>
  <c r="CI55" i="54"/>
  <c r="CI87" i="54" s="1"/>
  <c r="CQ55" i="54"/>
  <c r="CS55" i="54" s="1"/>
  <c r="CH55" i="54"/>
  <c r="CH87" i="54" s="1"/>
  <c r="DV54" i="54"/>
  <c r="DO55" i="54"/>
  <c r="DO87" i="54" s="1"/>
  <c r="DW55" i="54"/>
  <c r="DY55" i="54" s="1"/>
  <c r="DF54" i="54"/>
  <c r="DG55" i="54"/>
  <c r="DI55" i="54" s="1"/>
  <c r="CY55" i="54"/>
  <c r="CY87" i="54" s="1"/>
  <c r="CX55" i="54"/>
  <c r="CX87" i="54" s="1"/>
  <c r="AT28" i="54"/>
  <c r="AV28" i="54" s="1"/>
  <c r="AS27" i="54"/>
  <c r="DV27" i="54"/>
  <c r="DW28" i="54"/>
  <c r="DY28" i="54" s="1"/>
  <c r="DF27" i="54"/>
  <c r="DG28" i="54"/>
  <c r="DI28" i="54" s="1"/>
  <c r="BF55" i="54"/>
  <c r="C63" i="54"/>
  <c r="G63" i="54" s="1"/>
  <c r="E14" i="45"/>
  <c r="D14" i="45"/>
  <c r="H21" i="44"/>
  <c r="D45" i="2"/>
  <c r="F20" i="57" s="1"/>
  <c r="T14" i="10"/>
  <c r="S14" i="10"/>
  <c r="F46" i="2"/>
  <c r="D21" i="57" s="1"/>
  <c r="J86" i="13"/>
  <c r="D114" i="13"/>
  <c r="E64" i="13"/>
  <c r="K27" i="10"/>
  <c r="L44" i="2"/>
  <c r="E15" i="5"/>
  <c r="F19" i="4"/>
  <c r="C17" i="2"/>
  <c r="D17" i="2" s="1"/>
  <c r="F17" i="2"/>
  <c r="B73" i="2"/>
  <c r="B21" i="4"/>
  <c r="G21" i="4" s="1"/>
  <c r="L21" i="57" s="1"/>
  <c r="E14" i="7"/>
  <c r="DF86" i="54" l="1"/>
  <c r="DN55" i="54"/>
  <c r="DN87" i="54" s="1"/>
  <c r="CP86" i="54"/>
  <c r="CG55" i="54"/>
  <c r="CK55" i="54" s="1"/>
  <c r="CL55" i="54" s="1"/>
  <c r="CL87" i="54" s="1"/>
  <c r="DV86" i="54"/>
  <c r="BZ66" i="54"/>
  <c r="BR67" i="54"/>
  <c r="BQ67" i="54" s="1"/>
  <c r="BU67" i="54" s="1"/>
  <c r="BV67" i="54" s="1"/>
  <c r="BW67" i="54" s="1"/>
  <c r="BX67" i="54" s="1"/>
  <c r="BY67" i="54" s="1"/>
  <c r="BG55" i="54"/>
  <c r="BG87" i="54" s="1"/>
  <c r="DO28" i="54"/>
  <c r="CI28" i="54"/>
  <c r="CY28" i="54"/>
  <c r="CW55" i="54"/>
  <c r="DA55" i="54" s="1"/>
  <c r="BZ27" i="54"/>
  <c r="BR28" i="54"/>
  <c r="T28" i="54"/>
  <c r="X28" i="54" s="1"/>
  <c r="BA28" i="54"/>
  <c r="AZ28" i="54" s="1"/>
  <c r="BD28" i="54" s="1"/>
  <c r="BE28" i="54" s="1"/>
  <c r="BF28" i="54" s="1"/>
  <c r="BG28" i="54" s="1"/>
  <c r="BH28" i="54" s="1"/>
  <c r="AK28" i="54"/>
  <c r="AJ28" i="54" s="1"/>
  <c r="AN28" i="54" s="1"/>
  <c r="AR55" i="54"/>
  <c r="CD27" i="54"/>
  <c r="H63" i="54"/>
  <c r="H95" i="54" s="1"/>
  <c r="E64" i="54"/>
  <c r="E96" i="54" s="1"/>
  <c r="BA132" i="33"/>
  <c r="C45" i="2"/>
  <c r="D14" i="7"/>
  <c r="B18" i="2"/>
  <c r="C18" i="2" s="1"/>
  <c r="D18" i="2" s="1"/>
  <c r="I21" i="4"/>
  <c r="D21" i="4"/>
  <c r="F114" i="13"/>
  <c r="H114" i="13" s="1"/>
  <c r="L86" i="13"/>
  <c r="C65" i="13"/>
  <c r="F65" i="13" s="1"/>
  <c r="K119" i="13" s="1"/>
  <c r="H64" i="13"/>
  <c r="H22" i="4"/>
  <c r="I22" i="57" s="1"/>
  <c r="E47" i="2"/>
  <c r="C22" i="57" s="1"/>
  <c r="G17" i="2"/>
  <c r="M46" i="2" s="1"/>
  <c r="O46" i="2" s="1"/>
  <c r="E21" i="57" s="1"/>
  <c r="B14" i="7"/>
  <c r="H13" i="7"/>
  <c r="DM55" i="54" l="1"/>
  <c r="DQ55" i="54" s="1"/>
  <c r="DR55" i="54" s="1"/>
  <c r="DR87" i="54" s="1"/>
  <c r="DS55" i="54"/>
  <c r="CM55" i="54"/>
  <c r="BQ28" i="54"/>
  <c r="BU28" i="54" s="1"/>
  <c r="CX28" i="54"/>
  <c r="CW28" i="54" s="1"/>
  <c r="DA28" i="54" s="1"/>
  <c r="DB28" i="54" s="1"/>
  <c r="DC28" i="54" s="1"/>
  <c r="DD28" i="54" s="1"/>
  <c r="DE28" i="54" s="1"/>
  <c r="DN28" i="54"/>
  <c r="DM28" i="54" s="1"/>
  <c r="DQ28" i="54" s="1"/>
  <c r="DR28" i="54" s="1"/>
  <c r="DS28" i="54" s="1"/>
  <c r="DT28" i="54" s="1"/>
  <c r="DU28" i="54" s="1"/>
  <c r="CH28" i="54"/>
  <c r="CG28" i="54" s="1"/>
  <c r="CK28" i="54" s="1"/>
  <c r="CL28" i="54" s="1"/>
  <c r="CM28" i="54" s="1"/>
  <c r="CN28" i="54" s="1"/>
  <c r="CO28" i="54" s="1"/>
  <c r="DB55" i="54"/>
  <c r="DB87" i="54" s="1"/>
  <c r="DC55" i="54"/>
  <c r="BI28" i="54"/>
  <c r="BH55" i="54"/>
  <c r="AK56" i="54" s="1"/>
  <c r="AG28" i="54"/>
  <c r="AO28" i="54"/>
  <c r="AP28" i="54" s="1"/>
  <c r="AQ28" i="54" s="1"/>
  <c r="AR28" i="54" s="1"/>
  <c r="BJ29" i="54" s="1"/>
  <c r="BL29" i="54" s="1"/>
  <c r="Y28" i="54"/>
  <c r="Z28" i="54" s="1"/>
  <c r="AA28" i="54" s="1"/>
  <c r="AB28" i="54" s="1"/>
  <c r="V29" i="54"/>
  <c r="DT55" i="54"/>
  <c r="DT87" i="54" s="1"/>
  <c r="DU55" i="54"/>
  <c r="BZ67" i="54"/>
  <c r="BR68" i="54"/>
  <c r="BQ68" i="54" s="1"/>
  <c r="BU68" i="54" s="1"/>
  <c r="BV68" i="54" s="1"/>
  <c r="BW68" i="54" s="1"/>
  <c r="BX68" i="54" s="1"/>
  <c r="BY68" i="54" s="1"/>
  <c r="BZ68" i="54" s="1"/>
  <c r="AS55" i="54"/>
  <c r="G45" i="2"/>
  <c r="H45" i="2" s="1"/>
  <c r="H20" i="57" s="1"/>
  <c r="G20" i="57"/>
  <c r="I63" i="54"/>
  <c r="J63" i="54" s="1"/>
  <c r="J95" i="54" s="1"/>
  <c r="F14" i="7"/>
  <c r="J21" i="57"/>
  <c r="F18" i="2"/>
  <c r="D22" i="4" s="1"/>
  <c r="F14" i="45"/>
  <c r="I87" i="13"/>
  <c r="J87" i="13" s="1"/>
  <c r="C21" i="15"/>
  <c r="I114" i="13"/>
  <c r="J114" i="13" s="1"/>
  <c r="L114" i="13"/>
  <c r="D65" i="13"/>
  <c r="G65" i="13" s="1"/>
  <c r="E119" i="13"/>
  <c r="C119" i="13"/>
  <c r="M27" i="10"/>
  <c r="J28" i="10" s="1"/>
  <c r="E15" i="7"/>
  <c r="H17" i="2"/>
  <c r="E13" i="11" s="1"/>
  <c r="E48" i="2"/>
  <c r="C23" i="57" s="1"/>
  <c r="G18" i="2"/>
  <c r="M47" i="2" s="1"/>
  <c r="O47" i="2" s="1"/>
  <c r="E22" i="57" s="1"/>
  <c r="H23" i="4"/>
  <c r="I23" i="57" s="1"/>
  <c r="B19" i="2"/>
  <c r="F19" i="2" s="1"/>
  <c r="AT56" i="54" l="1"/>
  <c r="AV56" i="54" s="1"/>
  <c r="AL56" i="54"/>
  <c r="AL88" i="54" s="1"/>
  <c r="AK88" i="54"/>
  <c r="AS87" i="54" s="1"/>
  <c r="AS28" i="54"/>
  <c r="AT29" i="54"/>
  <c r="AV29" i="54" s="1"/>
  <c r="BI55" i="54"/>
  <c r="BB56" i="54"/>
  <c r="BB88" i="54" s="1"/>
  <c r="BJ56" i="54"/>
  <c r="BL56" i="54" s="1"/>
  <c r="BA56" i="54"/>
  <c r="BA88" i="54" s="1"/>
  <c r="DD55" i="54"/>
  <c r="DD87" i="54" s="1"/>
  <c r="DE55" i="54"/>
  <c r="CP28" i="54"/>
  <c r="CQ29" i="54"/>
  <c r="CS29" i="54" s="1"/>
  <c r="DV55" i="54"/>
  <c r="DW29" i="54"/>
  <c r="DY29" i="54" s="1"/>
  <c r="DV28" i="54"/>
  <c r="DG29" i="54"/>
  <c r="DI29" i="54" s="1"/>
  <c r="DF28" i="54"/>
  <c r="BB29" i="54"/>
  <c r="AL29" i="54"/>
  <c r="BS29" i="54"/>
  <c r="BV28" i="54"/>
  <c r="BW28" i="54" s="1"/>
  <c r="BX28" i="54" s="1"/>
  <c r="BY28" i="54" s="1"/>
  <c r="CD28" i="54" s="1"/>
  <c r="AC28" i="54"/>
  <c r="U29" i="54"/>
  <c r="CN55" i="54"/>
  <c r="CN87" i="54" s="1"/>
  <c r="I45" i="2"/>
  <c r="K63" i="54"/>
  <c r="K87" i="13"/>
  <c r="G115" i="13" s="1"/>
  <c r="D115" i="13"/>
  <c r="D23" i="4"/>
  <c r="D14" i="8"/>
  <c r="C15" i="8" s="1"/>
  <c r="M114" i="13"/>
  <c r="D21" i="15"/>
  <c r="L87" i="13"/>
  <c r="F115" i="13"/>
  <c r="E73" i="2"/>
  <c r="Q15" i="10"/>
  <c r="R15" i="10" s="1"/>
  <c r="E65" i="13"/>
  <c r="C66" i="13" s="1"/>
  <c r="D66" i="13" s="1"/>
  <c r="G66" i="13" s="1"/>
  <c r="K28" i="10"/>
  <c r="H18" i="2"/>
  <c r="E14" i="11" s="1"/>
  <c r="B47" i="2"/>
  <c r="C14" i="11" s="1"/>
  <c r="J45" i="2"/>
  <c r="J13" i="45" s="1"/>
  <c r="C19" i="2"/>
  <c r="G19" i="2" s="1"/>
  <c r="M48" i="2" s="1"/>
  <c r="O48" i="2" s="1"/>
  <c r="E23" i="57" s="1"/>
  <c r="E16" i="7"/>
  <c r="BI87" i="54" l="1"/>
  <c r="AJ56" i="54"/>
  <c r="AN56" i="54" s="1"/>
  <c r="CO55" i="54"/>
  <c r="DN56" i="54" s="1"/>
  <c r="DN88" i="54" s="1"/>
  <c r="CP55" i="54"/>
  <c r="CI56" i="54"/>
  <c r="CI88" i="54" s="1"/>
  <c r="CQ56" i="54"/>
  <c r="CS56" i="54" s="1"/>
  <c r="CD55" i="54"/>
  <c r="CH56" i="54"/>
  <c r="CH88" i="54" s="1"/>
  <c r="AZ56" i="54"/>
  <c r="BD56" i="54" s="1"/>
  <c r="DF55" i="54"/>
  <c r="CY56" i="54"/>
  <c r="CY88" i="54" s="1"/>
  <c r="DG56" i="54"/>
  <c r="DI56" i="54" s="1"/>
  <c r="BR29" i="54"/>
  <c r="BQ29" i="54" s="1"/>
  <c r="BU29" i="54" s="1"/>
  <c r="BZ28" i="54"/>
  <c r="DO56" i="54"/>
  <c r="DO88" i="54" s="1"/>
  <c r="T29" i="54"/>
  <c r="X29" i="54" s="1"/>
  <c r="BA29" i="54"/>
  <c r="AZ29" i="54" s="1"/>
  <c r="BD29" i="54" s="1"/>
  <c r="BE29" i="54" s="1"/>
  <c r="BF29" i="54" s="1"/>
  <c r="BG29" i="54" s="1"/>
  <c r="BH29" i="54" s="1"/>
  <c r="AK29" i="54"/>
  <c r="AJ29" i="54" s="1"/>
  <c r="AN29" i="54" s="1"/>
  <c r="DV87" i="54"/>
  <c r="DW56" i="54"/>
  <c r="DY56" i="54" s="1"/>
  <c r="AO56" i="54"/>
  <c r="AO88" i="54" s="1"/>
  <c r="AG56" i="54"/>
  <c r="CY29" i="54"/>
  <c r="CI29" i="54"/>
  <c r="DO29" i="54"/>
  <c r="L63" i="54"/>
  <c r="D64" i="54"/>
  <c r="D96" i="54" s="1"/>
  <c r="L95" i="54" s="1"/>
  <c r="H115" i="13"/>
  <c r="L115" i="13" s="1"/>
  <c r="M115" i="13" s="1"/>
  <c r="BA133" i="33"/>
  <c r="D15" i="8"/>
  <c r="C16" i="8" s="1"/>
  <c r="I88" i="13"/>
  <c r="J88" i="13" s="1"/>
  <c r="C22" i="15"/>
  <c r="H65" i="13"/>
  <c r="C120" i="13" s="1"/>
  <c r="F66" i="13"/>
  <c r="K120" i="13" s="1"/>
  <c r="T15" i="10"/>
  <c r="S15" i="10"/>
  <c r="E74" i="2"/>
  <c r="Q16" i="10"/>
  <c r="R16" i="10" s="1"/>
  <c r="E66" i="13"/>
  <c r="C67" i="13" s="1"/>
  <c r="D67" i="13" s="1"/>
  <c r="G67" i="13" s="1"/>
  <c r="M28" i="10"/>
  <c r="J29" i="10" s="1"/>
  <c r="E20" i="4"/>
  <c r="F47" i="2"/>
  <c r="D22" i="57" s="1"/>
  <c r="B22" i="4"/>
  <c r="G22" i="4" s="1"/>
  <c r="L22" i="57" s="1"/>
  <c r="B74" i="2"/>
  <c r="H19" i="2"/>
  <c r="E15" i="11" s="1"/>
  <c r="B48" i="2"/>
  <c r="C15" i="11" s="1"/>
  <c r="K45" i="2"/>
  <c r="D19" i="2"/>
  <c r="CX56" i="54" l="1"/>
  <c r="CX88" i="54" s="1"/>
  <c r="CP87" i="54"/>
  <c r="DF87" i="54"/>
  <c r="CW56" i="54"/>
  <c r="DA56" i="54" s="1"/>
  <c r="AG29" i="54"/>
  <c r="AO29" i="54"/>
  <c r="AP29" i="54" s="1"/>
  <c r="AQ29" i="54" s="1"/>
  <c r="AR29" i="54" s="1"/>
  <c r="BJ30" i="54" s="1"/>
  <c r="BL30" i="54" s="1"/>
  <c r="BI29" i="54"/>
  <c r="BE56" i="54"/>
  <c r="BE88" i="54" s="1"/>
  <c r="BF56" i="54"/>
  <c r="Y29" i="54"/>
  <c r="Z29" i="54" s="1"/>
  <c r="AA29" i="54" s="1"/>
  <c r="AB29" i="54" s="1"/>
  <c r="V30" i="54"/>
  <c r="CG56" i="54"/>
  <c r="CK56" i="54" s="1"/>
  <c r="BS30" i="54"/>
  <c r="BV29" i="54"/>
  <c r="BW29" i="54" s="1"/>
  <c r="BX29" i="54" s="1"/>
  <c r="BY29" i="54" s="1"/>
  <c r="DN29" i="54"/>
  <c r="DM29" i="54" s="1"/>
  <c r="DQ29" i="54" s="1"/>
  <c r="DR29" i="54" s="1"/>
  <c r="DS29" i="54" s="1"/>
  <c r="DT29" i="54" s="1"/>
  <c r="DU29" i="54" s="1"/>
  <c r="CH29" i="54"/>
  <c r="CG29" i="54" s="1"/>
  <c r="CK29" i="54" s="1"/>
  <c r="CL29" i="54" s="1"/>
  <c r="CM29" i="54" s="1"/>
  <c r="CN29" i="54" s="1"/>
  <c r="CO29" i="54" s="1"/>
  <c r="CX29" i="54"/>
  <c r="CW29" i="54" s="1"/>
  <c r="DA29" i="54" s="1"/>
  <c r="DB29" i="54" s="1"/>
  <c r="DC29" i="54" s="1"/>
  <c r="DD29" i="54" s="1"/>
  <c r="DE29" i="54" s="1"/>
  <c r="AP56" i="54"/>
  <c r="DM56" i="54"/>
  <c r="DQ56" i="54" s="1"/>
  <c r="C64" i="54"/>
  <c r="G64" i="54" s="1"/>
  <c r="D22" i="15"/>
  <c r="I115" i="13"/>
  <c r="J115" i="13" s="1"/>
  <c r="E120" i="13"/>
  <c r="D15" i="7"/>
  <c r="D46" i="2"/>
  <c r="F21" i="57" s="1"/>
  <c r="I13" i="7"/>
  <c r="K88" i="13"/>
  <c r="G116" i="13" s="1"/>
  <c r="D16" i="8"/>
  <c r="C17" i="8" s="1"/>
  <c r="D116" i="13"/>
  <c r="L88" i="13"/>
  <c r="F116" i="13"/>
  <c r="H66" i="13"/>
  <c r="T16" i="10"/>
  <c r="S16" i="10"/>
  <c r="E75" i="2"/>
  <c r="Q17" i="10"/>
  <c r="R17" i="10" s="1"/>
  <c r="F67" i="13"/>
  <c r="K121" i="13" s="1"/>
  <c r="E67" i="13"/>
  <c r="K29" i="10"/>
  <c r="L45" i="2"/>
  <c r="E16" i="5"/>
  <c r="F20" i="4"/>
  <c r="F48" i="2"/>
  <c r="D23" i="57" s="1"/>
  <c r="B75" i="2"/>
  <c r="B23" i="4"/>
  <c r="G23" i="4" s="1"/>
  <c r="L23" i="57" s="1"/>
  <c r="B15" i="7"/>
  <c r="I22" i="4"/>
  <c r="J22" i="57" s="1"/>
  <c r="E49" i="2"/>
  <c r="C24" i="57" s="1"/>
  <c r="B49" i="2"/>
  <c r="C16" i="11" s="1"/>
  <c r="H24" i="4"/>
  <c r="I24" i="57" s="1"/>
  <c r="B20" i="2"/>
  <c r="F20" i="2" s="1"/>
  <c r="CI30" i="54" l="1"/>
  <c r="CY30" i="54"/>
  <c r="DO30" i="54"/>
  <c r="AL30" i="54"/>
  <c r="BB30" i="54"/>
  <c r="AC29" i="54"/>
  <c r="U30" i="54"/>
  <c r="BG56" i="54"/>
  <c r="BG88" i="54" s="1"/>
  <c r="BH56" i="54"/>
  <c r="DR56" i="54"/>
  <c r="DR88" i="54" s="1"/>
  <c r="AQ56" i="54"/>
  <c r="AQ88" i="54" s="1"/>
  <c r="DF29" i="54"/>
  <c r="DG30" i="54"/>
  <c r="DI30" i="54" s="1"/>
  <c r="AT30" i="54"/>
  <c r="AV30" i="54" s="1"/>
  <c r="AS29" i="54"/>
  <c r="CD29" i="54"/>
  <c r="CQ30" i="54"/>
  <c r="CS30" i="54" s="1"/>
  <c r="CP29" i="54"/>
  <c r="CL56" i="54"/>
  <c r="CL88" i="54" s="1"/>
  <c r="DV29" i="54"/>
  <c r="DW30" i="54"/>
  <c r="DY30" i="54" s="1"/>
  <c r="DB56" i="54"/>
  <c r="DB88" i="54" s="1"/>
  <c r="BR30" i="54"/>
  <c r="BZ29" i="54"/>
  <c r="E65" i="54"/>
  <c r="E97" i="54" s="1"/>
  <c r="H64" i="54"/>
  <c r="H96" i="54" s="1"/>
  <c r="D16" i="7"/>
  <c r="D24" i="4"/>
  <c r="H116" i="13"/>
  <c r="I116" i="13" s="1"/>
  <c r="J116" i="13" s="1"/>
  <c r="I89" i="13"/>
  <c r="K89" i="13" s="1"/>
  <c r="G117" i="13" s="1"/>
  <c r="C23" i="15"/>
  <c r="C121" i="13"/>
  <c r="E121" i="13"/>
  <c r="F49" i="2"/>
  <c r="D24" i="57" s="1"/>
  <c r="T17" i="10"/>
  <c r="S17" i="10"/>
  <c r="H67" i="13"/>
  <c r="C68" i="13"/>
  <c r="F68" i="13" s="1"/>
  <c r="K122" i="13" s="1"/>
  <c r="C46" i="2"/>
  <c r="G21" i="57" s="1"/>
  <c r="I23" i="4"/>
  <c r="J23" i="57" s="1"/>
  <c r="B16" i="7"/>
  <c r="F15" i="7"/>
  <c r="H14" i="7"/>
  <c r="B76" i="2"/>
  <c r="B24" i="4"/>
  <c r="G24" i="4" s="1"/>
  <c r="L24" i="57" s="1"/>
  <c r="E17" i="7"/>
  <c r="C20" i="2"/>
  <c r="G20" i="2" s="1"/>
  <c r="M49" i="2" s="1"/>
  <c r="O49" i="2" s="1"/>
  <c r="E24" i="57" s="1"/>
  <c r="CM56" i="54" l="1"/>
  <c r="DS56" i="54"/>
  <c r="DC56" i="54"/>
  <c r="DD56" i="54" s="1"/>
  <c r="DD88" i="54" s="1"/>
  <c r="BI56" i="54"/>
  <c r="T30" i="54"/>
  <c r="X30" i="54" s="1"/>
  <c r="BA30" i="54"/>
  <c r="AZ30" i="54" s="1"/>
  <c r="BD30" i="54" s="1"/>
  <c r="BE30" i="54" s="1"/>
  <c r="BF30" i="54" s="1"/>
  <c r="BG30" i="54" s="1"/>
  <c r="BH30" i="54" s="1"/>
  <c r="AK30" i="54"/>
  <c r="AJ30" i="54" s="1"/>
  <c r="AN30" i="54" s="1"/>
  <c r="DT56" i="54"/>
  <c r="DT88" i="54" s="1"/>
  <c r="BQ30" i="54"/>
  <c r="BU30" i="54" s="1"/>
  <c r="DN30" i="54"/>
  <c r="DM30" i="54" s="1"/>
  <c r="DQ30" i="54" s="1"/>
  <c r="DR30" i="54" s="1"/>
  <c r="DS30" i="54" s="1"/>
  <c r="DT30" i="54" s="1"/>
  <c r="DU30" i="54" s="1"/>
  <c r="CX30" i="54"/>
  <c r="CW30" i="54" s="1"/>
  <c r="DA30" i="54" s="1"/>
  <c r="DB30" i="54" s="1"/>
  <c r="DC30" i="54" s="1"/>
  <c r="DD30" i="54" s="1"/>
  <c r="DE30" i="54" s="1"/>
  <c r="CH30" i="54"/>
  <c r="CG30" i="54" s="1"/>
  <c r="CK30" i="54" s="1"/>
  <c r="CL30" i="54" s="1"/>
  <c r="CM30" i="54" s="1"/>
  <c r="CN30" i="54" s="1"/>
  <c r="CO30" i="54" s="1"/>
  <c r="CN56" i="54"/>
  <c r="CN88" i="54" s="1"/>
  <c r="AR56" i="54"/>
  <c r="BB57" i="54" s="1"/>
  <c r="BB89" i="54" s="1"/>
  <c r="I64" i="54"/>
  <c r="J64" i="54" s="1"/>
  <c r="J96" i="54" s="1"/>
  <c r="D17" i="7"/>
  <c r="L116" i="13"/>
  <c r="M116" i="13" s="1"/>
  <c r="D68" i="13"/>
  <c r="G68" i="13" s="1"/>
  <c r="J89" i="13"/>
  <c r="D117" i="13"/>
  <c r="E122" i="13"/>
  <c r="C122" i="13"/>
  <c r="M29" i="10"/>
  <c r="J30" i="10" s="1"/>
  <c r="G46" i="2"/>
  <c r="H46" i="2" s="1"/>
  <c r="H21" i="57" s="1"/>
  <c r="F16" i="7"/>
  <c r="H20" i="2"/>
  <c r="E16" i="11" s="1"/>
  <c r="B17" i="7"/>
  <c r="I24" i="4"/>
  <c r="J24" i="57" s="1"/>
  <c r="D20" i="2"/>
  <c r="CO56" i="54" l="1"/>
  <c r="DW31" i="54"/>
  <c r="DY31" i="54" s="1"/>
  <c r="DV30" i="54"/>
  <c r="DU56" i="54"/>
  <c r="BS31" i="54"/>
  <c r="BV30" i="54"/>
  <c r="BW30" i="54" s="1"/>
  <c r="BX30" i="54" s="1"/>
  <c r="BY30" i="54" s="1"/>
  <c r="AO30" i="54"/>
  <c r="AP30" i="54" s="1"/>
  <c r="AQ30" i="54" s="1"/>
  <c r="AR30" i="54" s="1"/>
  <c r="BJ31" i="54" s="1"/>
  <c r="BL31" i="54" s="1"/>
  <c r="AG30" i="54"/>
  <c r="BI30" i="54"/>
  <c r="DE56" i="54"/>
  <c r="Y30" i="54"/>
  <c r="Z30" i="54" s="1"/>
  <c r="AA30" i="54" s="1"/>
  <c r="AB30" i="54" s="1"/>
  <c r="V31" i="54"/>
  <c r="BA57" i="54"/>
  <c r="CP56" i="54"/>
  <c r="AL57" i="54"/>
  <c r="AL89" i="54" s="1"/>
  <c r="AT57" i="54"/>
  <c r="AV57" i="54" s="1"/>
  <c r="AS56" i="54"/>
  <c r="AK57" i="54"/>
  <c r="AK89" i="54" s="1"/>
  <c r="CQ31" i="54"/>
  <c r="CS31" i="54" s="1"/>
  <c r="CP30" i="54"/>
  <c r="BJ57" i="54"/>
  <c r="BL57" i="54" s="1"/>
  <c r="DF30" i="54"/>
  <c r="DG31" i="54"/>
  <c r="DI31" i="54" s="1"/>
  <c r="K64" i="54"/>
  <c r="D65" i="54" s="1"/>
  <c r="D97" i="54" s="1"/>
  <c r="L96" i="54" s="1"/>
  <c r="D23" i="15"/>
  <c r="D17" i="8"/>
  <c r="C18" i="8" s="1"/>
  <c r="E68" i="13"/>
  <c r="H68" i="13" s="1"/>
  <c r="E76" i="2"/>
  <c r="Q18" i="10"/>
  <c r="R18" i="10" s="1"/>
  <c r="F117" i="13"/>
  <c r="C24" i="15" s="1"/>
  <c r="L89" i="13"/>
  <c r="K30" i="10"/>
  <c r="B50" i="2"/>
  <c r="C17" i="11" s="1"/>
  <c r="E50" i="2"/>
  <c r="C25" i="57" s="1"/>
  <c r="I46" i="2"/>
  <c r="J46" i="2" s="1"/>
  <c r="J14" i="45" s="1"/>
  <c r="F17" i="7"/>
  <c r="H25" i="4"/>
  <c r="I25" i="57" s="1"/>
  <c r="B21" i="2"/>
  <c r="F21" i="2" s="1"/>
  <c r="DF56" i="54" l="1"/>
  <c r="CY57" i="54"/>
  <c r="CY89" i="54" s="1"/>
  <c r="DG57" i="54"/>
  <c r="DI57" i="54" s="1"/>
  <c r="CX57" i="54"/>
  <c r="CX89" i="54" s="1"/>
  <c r="CH57" i="54"/>
  <c r="L64" i="54"/>
  <c r="AT31" i="54"/>
  <c r="AV31" i="54" s="1"/>
  <c r="AS30" i="54"/>
  <c r="CI57" i="54"/>
  <c r="CI89" i="54" s="1"/>
  <c r="BZ30" i="54"/>
  <c r="BR31" i="54"/>
  <c r="CD56" i="54"/>
  <c r="DO31" i="54"/>
  <c r="CY31" i="54"/>
  <c r="CI31" i="54"/>
  <c r="CQ57" i="54"/>
  <c r="CS57" i="54" s="1"/>
  <c r="DV56" i="54"/>
  <c r="DO57" i="54"/>
  <c r="DO89" i="54" s="1"/>
  <c r="DW57" i="54"/>
  <c r="DY57" i="54" s="1"/>
  <c r="DN57" i="54"/>
  <c r="DN89" i="54" s="1"/>
  <c r="CD30" i="54"/>
  <c r="BA89" i="54"/>
  <c r="BI88" i="54" s="1"/>
  <c r="AZ57" i="54"/>
  <c r="BD57" i="54" s="1"/>
  <c r="AS88" i="54"/>
  <c r="AL31" i="54"/>
  <c r="BB31" i="54"/>
  <c r="AJ57" i="54"/>
  <c r="AN57" i="54" s="1"/>
  <c r="AC30" i="54"/>
  <c r="U31" i="54"/>
  <c r="C65" i="54"/>
  <c r="G65" i="54" s="1"/>
  <c r="D25" i="4"/>
  <c r="I90" i="13"/>
  <c r="K90" i="13" s="1"/>
  <c r="G118" i="13" s="1"/>
  <c r="E123" i="13"/>
  <c r="C69" i="13"/>
  <c r="F69" i="13" s="1"/>
  <c r="K123" i="13" s="1"/>
  <c r="C123" i="13"/>
  <c r="T18" i="10"/>
  <c r="S18" i="10"/>
  <c r="F50" i="2"/>
  <c r="D25" i="57" s="1"/>
  <c r="H117" i="13"/>
  <c r="L117" i="13" s="1"/>
  <c r="E21" i="4"/>
  <c r="K46" i="2"/>
  <c r="B25" i="4"/>
  <c r="G25" i="4" s="1"/>
  <c r="L25" i="57" s="1"/>
  <c r="B77" i="2"/>
  <c r="C21" i="2"/>
  <c r="G21" i="2" s="1"/>
  <c r="M50" i="2" s="1"/>
  <c r="O50" i="2" s="1"/>
  <c r="E25" i="57" s="1"/>
  <c r="E18" i="7"/>
  <c r="DV88" i="54" l="1"/>
  <c r="DF88" i="54"/>
  <c r="DN31" i="54"/>
  <c r="DM31" i="54" s="1"/>
  <c r="DQ31" i="54" s="1"/>
  <c r="DR31" i="54" s="1"/>
  <c r="DS31" i="54" s="1"/>
  <c r="DT31" i="54" s="1"/>
  <c r="DU31" i="54" s="1"/>
  <c r="CH31" i="54"/>
  <c r="CG31" i="54" s="1"/>
  <c r="CK31" i="54" s="1"/>
  <c r="CL31" i="54" s="1"/>
  <c r="CM31" i="54" s="1"/>
  <c r="CN31" i="54" s="1"/>
  <c r="CO31" i="54" s="1"/>
  <c r="CX31" i="54"/>
  <c r="CW31" i="54" s="1"/>
  <c r="DA31" i="54" s="1"/>
  <c r="DB31" i="54" s="1"/>
  <c r="DC31" i="54" s="1"/>
  <c r="DD31" i="54" s="1"/>
  <c r="DE31" i="54" s="1"/>
  <c r="DM57" i="54"/>
  <c r="DQ57" i="54" s="1"/>
  <c r="AG57" i="54"/>
  <c r="AO57" i="54"/>
  <c r="AO89" i="54" s="1"/>
  <c r="CH89" i="54"/>
  <c r="CP88" i="54" s="1"/>
  <c r="CG57" i="54"/>
  <c r="CK57" i="54" s="1"/>
  <c r="T31" i="54"/>
  <c r="X31" i="54" s="1"/>
  <c r="BA31" i="54"/>
  <c r="AZ31" i="54" s="1"/>
  <c r="BD31" i="54" s="1"/>
  <c r="BE31" i="54" s="1"/>
  <c r="BF31" i="54" s="1"/>
  <c r="BG31" i="54" s="1"/>
  <c r="BH31" i="54" s="1"/>
  <c r="AK31" i="54"/>
  <c r="AJ31" i="54" s="1"/>
  <c r="AN31" i="54" s="1"/>
  <c r="CW57" i="54"/>
  <c r="DA57" i="54" s="1"/>
  <c r="BE57" i="54"/>
  <c r="BE89" i="54" s="1"/>
  <c r="BQ31" i="54"/>
  <c r="BU31" i="54" s="1"/>
  <c r="E66" i="54"/>
  <c r="E98" i="54" s="1"/>
  <c r="H65" i="54"/>
  <c r="H97" i="54" s="1"/>
  <c r="D18" i="7"/>
  <c r="D118" i="13"/>
  <c r="D47" i="2"/>
  <c r="F22" i="57" s="1"/>
  <c r="I14" i="7"/>
  <c r="D69" i="13"/>
  <c r="G69" i="13" s="1"/>
  <c r="M117" i="13"/>
  <c r="D24" i="15"/>
  <c r="I117" i="13"/>
  <c r="J117" i="13" s="1"/>
  <c r="J90" i="13"/>
  <c r="M30" i="10"/>
  <c r="J31" i="10" s="1"/>
  <c r="L46" i="2"/>
  <c r="E17" i="5"/>
  <c r="F21" i="4"/>
  <c r="H21" i="2"/>
  <c r="E17" i="11" s="1"/>
  <c r="H15" i="7"/>
  <c r="D21" i="2"/>
  <c r="B18" i="7"/>
  <c r="I25" i="4"/>
  <c r="J25" i="57" s="1"/>
  <c r="BF57" i="54" l="1"/>
  <c r="AG31" i="54"/>
  <c r="AO31" i="54"/>
  <c r="AP31" i="54" s="1"/>
  <c r="AQ31" i="54" s="1"/>
  <c r="AR31" i="54" s="1"/>
  <c r="V32" i="54"/>
  <c r="Y31" i="54"/>
  <c r="Z31" i="54" s="1"/>
  <c r="AA31" i="54" s="1"/>
  <c r="AB31" i="54" s="1"/>
  <c r="CL57" i="54"/>
  <c r="CL89" i="54" s="1"/>
  <c r="AP57" i="54"/>
  <c r="BI31" i="54"/>
  <c r="BJ32" i="54"/>
  <c r="BL32" i="54" s="1"/>
  <c r="DR57" i="54"/>
  <c r="DR89" i="54" s="1"/>
  <c r="BG57" i="54"/>
  <c r="BG89" i="54" s="1"/>
  <c r="DG32" i="54"/>
  <c r="DI32" i="54" s="1"/>
  <c r="DF31" i="54"/>
  <c r="CP31" i="54"/>
  <c r="CQ32" i="54"/>
  <c r="CS32" i="54" s="1"/>
  <c r="BV31" i="54"/>
  <c r="BW31" i="54" s="1"/>
  <c r="BX31" i="54" s="1"/>
  <c r="BY31" i="54" s="1"/>
  <c r="BS32" i="54"/>
  <c r="DB57" i="54"/>
  <c r="DB89" i="54" s="1"/>
  <c r="DV31" i="54"/>
  <c r="DW32" i="54"/>
  <c r="DY32" i="54" s="1"/>
  <c r="I65" i="54"/>
  <c r="E69" i="13"/>
  <c r="H69" i="13" s="1"/>
  <c r="D18" i="8"/>
  <c r="C19" i="8" s="1"/>
  <c r="E77" i="2"/>
  <c r="Q19" i="10"/>
  <c r="R19" i="10" s="1"/>
  <c r="L90" i="13"/>
  <c r="F118" i="13"/>
  <c r="C25" i="15" s="1"/>
  <c r="K31" i="10"/>
  <c r="C47" i="2"/>
  <c r="G22" i="57" s="1"/>
  <c r="E51" i="2"/>
  <c r="C26" i="57" s="1"/>
  <c r="B51" i="2"/>
  <c r="C18" i="11" s="1"/>
  <c r="H26" i="4"/>
  <c r="I26" i="57" s="1"/>
  <c r="B22" i="2"/>
  <c r="F22" i="2" s="1"/>
  <c r="F18" i="7"/>
  <c r="DC57" i="54" l="1"/>
  <c r="DD57" i="54"/>
  <c r="DD89" i="54" s="1"/>
  <c r="DS57" i="54"/>
  <c r="BR32" i="54"/>
  <c r="BZ31" i="54"/>
  <c r="AQ57" i="54"/>
  <c r="AQ89" i="54" s="1"/>
  <c r="CM57" i="54"/>
  <c r="AC31" i="54"/>
  <c r="U32" i="54"/>
  <c r="CI32" i="54"/>
  <c r="CY32" i="54"/>
  <c r="DO32" i="54"/>
  <c r="BB32" i="54"/>
  <c r="AL32" i="54"/>
  <c r="CD31" i="54"/>
  <c r="AS31" i="54"/>
  <c r="AT32" i="54"/>
  <c r="AV32" i="54" s="1"/>
  <c r="BH57" i="54"/>
  <c r="J65" i="54"/>
  <c r="J97" i="54" s="1"/>
  <c r="BA134" i="33"/>
  <c r="D26" i="4"/>
  <c r="I91" i="13"/>
  <c r="K91" i="13" s="1"/>
  <c r="G119" i="13" s="1"/>
  <c r="F51" i="2"/>
  <c r="D26" i="57" s="1"/>
  <c r="H118" i="13"/>
  <c r="L118" i="13" s="1"/>
  <c r="T19" i="10"/>
  <c r="S19" i="10"/>
  <c r="M31" i="10"/>
  <c r="J32" i="10" s="1"/>
  <c r="G47" i="2"/>
  <c r="H47" i="2" s="1"/>
  <c r="H22" i="57" s="1"/>
  <c r="B26" i="4"/>
  <c r="G26" i="4" s="1"/>
  <c r="L26" i="57" s="1"/>
  <c r="B78" i="2"/>
  <c r="E19" i="7"/>
  <c r="C22" i="2"/>
  <c r="G22" i="2" s="1"/>
  <c r="AR57" i="54" l="1"/>
  <c r="DE57" i="54"/>
  <c r="CN57" i="54"/>
  <c r="CN89" i="54" s="1"/>
  <c r="CO57" i="54"/>
  <c r="AS57" i="54"/>
  <c r="AL58" i="54"/>
  <c r="AL90" i="54" s="1"/>
  <c r="AT58" i="54"/>
  <c r="AV58" i="54" s="1"/>
  <c r="AK58" i="54"/>
  <c r="AK90" i="54" s="1"/>
  <c r="BQ32" i="54"/>
  <c r="BU32" i="54" s="1"/>
  <c r="CX32" i="54"/>
  <c r="CW32" i="54" s="1"/>
  <c r="DA32" i="54" s="1"/>
  <c r="DB32" i="54" s="1"/>
  <c r="DC32" i="54" s="1"/>
  <c r="DD32" i="54" s="1"/>
  <c r="DE32" i="54" s="1"/>
  <c r="DN32" i="54"/>
  <c r="DM32" i="54" s="1"/>
  <c r="DQ32" i="54" s="1"/>
  <c r="DR32" i="54" s="1"/>
  <c r="DS32" i="54" s="1"/>
  <c r="DT32" i="54" s="1"/>
  <c r="DU32" i="54" s="1"/>
  <c r="CH32" i="54"/>
  <c r="CG32" i="54" s="1"/>
  <c r="CK32" i="54" s="1"/>
  <c r="CL32" i="54" s="1"/>
  <c r="CM32" i="54" s="1"/>
  <c r="CN32" i="54" s="1"/>
  <c r="CO32" i="54" s="1"/>
  <c r="DT57" i="54"/>
  <c r="DT89" i="54" s="1"/>
  <c r="BB58" i="54"/>
  <c r="BB90" i="54" s="1"/>
  <c r="BJ58" i="54"/>
  <c r="BL58" i="54" s="1"/>
  <c r="BI57" i="54"/>
  <c r="BA58" i="54"/>
  <c r="BA90" i="54" s="1"/>
  <c r="DF57" i="54"/>
  <c r="T32" i="54"/>
  <c r="X32" i="54" s="1"/>
  <c r="AK32" i="54"/>
  <c r="AJ32" i="54" s="1"/>
  <c r="AN32" i="54" s="1"/>
  <c r="BA32" i="54"/>
  <c r="AZ32" i="54" s="1"/>
  <c r="BD32" i="54" s="1"/>
  <c r="BE32" i="54" s="1"/>
  <c r="BF32" i="54" s="1"/>
  <c r="BG32" i="54" s="1"/>
  <c r="BH32" i="54" s="1"/>
  <c r="K65" i="54"/>
  <c r="D19" i="7"/>
  <c r="M118" i="13"/>
  <c r="D25" i="15"/>
  <c r="I118" i="13"/>
  <c r="J118" i="13" s="1"/>
  <c r="J91" i="13"/>
  <c r="F119" i="13" s="1"/>
  <c r="D119" i="13"/>
  <c r="K32" i="10"/>
  <c r="M32" i="10" s="1"/>
  <c r="I47" i="2"/>
  <c r="J47" i="2" s="1"/>
  <c r="M51" i="2"/>
  <c r="O51" i="2" s="1"/>
  <c r="E26" i="57" s="1"/>
  <c r="H22" i="2"/>
  <c r="E18" i="11" s="1"/>
  <c r="B19" i="7"/>
  <c r="I26" i="4"/>
  <c r="J26" i="57" s="1"/>
  <c r="D22" i="2"/>
  <c r="AS89" i="54" l="1"/>
  <c r="AZ58" i="54"/>
  <c r="BD58" i="54" s="1"/>
  <c r="BE58" i="54" s="1"/>
  <c r="BE90" i="54" s="1"/>
  <c r="BI89" i="54"/>
  <c r="AJ58" i="54"/>
  <c r="AN58" i="54" s="1"/>
  <c r="DV32" i="54"/>
  <c r="DW33" i="54"/>
  <c r="DY33" i="54" s="1"/>
  <c r="DG33" i="54"/>
  <c r="DI33" i="54" s="1"/>
  <c r="DF32" i="54"/>
  <c r="BS33" i="54"/>
  <c r="BV32" i="54"/>
  <c r="BW32" i="54" s="1"/>
  <c r="BX32" i="54" s="1"/>
  <c r="BY32" i="54" s="1"/>
  <c r="CD32" i="54" s="1"/>
  <c r="AO58" i="54"/>
  <c r="AO90" i="54" s="1"/>
  <c r="AG58" i="54"/>
  <c r="CP32" i="54"/>
  <c r="CQ33" i="54"/>
  <c r="CS33" i="54" s="1"/>
  <c r="BI32" i="54"/>
  <c r="CP57" i="54"/>
  <c r="Y32" i="54"/>
  <c r="Z32" i="54" s="1"/>
  <c r="AA32" i="54" s="1"/>
  <c r="AB32" i="54" s="1"/>
  <c r="V33" i="54"/>
  <c r="AG32" i="54"/>
  <c r="AO32" i="54"/>
  <c r="AP32" i="54" s="1"/>
  <c r="AQ32" i="54" s="1"/>
  <c r="AR32" i="54" s="1"/>
  <c r="BJ33" i="54" s="1"/>
  <c r="BL33" i="54" s="1"/>
  <c r="DU57" i="54"/>
  <c r="CD57" i="54" s="1"/>
  <c r="L65" i="54"/>
  <c r="D66" i="54"/>
  <c r="D98" i="54" s="1"/>
  <c r="L97" i="54" s="1"/>
  <c r="E22" i="4"/>
  <c r="C26" i="15"/>
  <c r="D19" i="8"/>
  <c r="C20" i="8" s="1"/>
  <c r="H119" i="13"/>
  <c r="L119" i="13" s="1"/>
  <c r="L91" i="13"/>
  <c r="E78" i="2"/>
  <c r="Q20" i="10"/>
  <c r="R20" i="10" s="1"/>
  <c r="K47" i="2"/>
  <c r="B52" i="2"/>
  <c r="C19" i="11" s="1"/>
  <c r="E52" i="2"/>
  <c r="C27" i="57" s="1"/>
  <c r="B23" i="2"/>
  <c r="F23" i="2" s="1"/>
  <c r="H27" i="4"/>
  <c r="I27" i="57" s="1"/>
  <c r="F19" i="7"/>
  <c r="CQ58" i="54" l="1"/>
  <c r="CS58" i="54" s="1"/>
  <c r="CI58" i="54"/>
  <c r="CI90" i="54" s="1"/>
  <c r="DN58" i="54"/>
  <c r="DN90" i="54" s="1"/>
  <c r="BF58" i="54"/>
  <c r="BZ32" i="54"/>
  <c r="BR33" i="54"/>
  <c r="AP58" i="54"/>
  <c r="DV57" i="54"/>
  <c r="DO58" i="54"/>
  <c r="DO90" i="54" s="1"/>
  <c r="DV89" i="54" s="1"/>
  <c r="DW58" i="54"/>
  <c r="DY58" i="54" s="1"/>
  <c r="DG58" i="54"/>
  <c r="DI58" i="54" s="1"/>
  <c r="CX58" i="54"/>
  <c r="CY58" i="54"/>
  <c r="CY90" i="54" s="1"/>
  <c r="CY33" i="54"/>
  <c r="CI33" i="54"/>
  <c r="DO33" i="54"/>
  <c r="BB33" i="54"/>
  <c r="AL33" i="54"/>
  <c r="BG58" i="54"/>
  <c r="BG90" i="54" s="1"/>
  <c r="U33" i="54"/>
  <c r="AC32" i="54"/>
  <c r="CH58" i="54"/>
  <c r="AT33" i="54"/>
  <c r="AV33" i="54" s="1"/>
  <c r="AS32" i="54"/>
  <c r="C66" i="54"/>
  <c r="G66" i="54" s="1"/>
  <c r="D27" i="4"/>
  <c r="I15" i="7"/>
  <c r="D48" i="2"/>
  <c r="I92" i="13"/>
  <c r="K92" i="13" s="1"/>
  <c r="G120" i="13" s="1"/>
  <c r="I119" i="13"/>
  <c r="J119" i="13" s="1"/>
  <c r="M119" i="13"/>
  <c r="D26" i="15"/>
  <c r="T20" i="10"/>
  <c r="S20" i="10"/>
  <c r="F52" i="2"/>
  <c r="D27" i="57" s="1"/>
  <c r="L47" i="2"/>
  <c r="F22" i="4"/>
  <c r="E18" i="5"/>
  <c r="H16" i="7"/>
  <c r="B27" i="4"/>
  <c r="G27" i="4" s="1"/>
  <c r="L27" i="57" s="1"/>
  <c r="B79" i="2"/>
  <c r="E20" i="7"/>
  <c r="C23" i="2"/>
  <c r="G23" i="2" s="1"/>
  <c r="M52" i="2" s="1"/>
  <c r="O52" i="2" s="1"/>
  <c r="E27" i="57" s="1"/>
  <c r="DM58" i="54" l="1"/>
  <c r="DQ58" i="54" s="1"/>
  <c r="CX90" i="54"/>
  <c r="DF89" i="54" s="1"/>
  <c r="CW58" i="54"/>
  <c r="DA58" i="54" s="1"/>
  <c r="DR58" i="54"/>
  <c r="DR90" i="54" s="1"/>
  <c r="DS58" i="54"/>
  <c r="T33" i="54"/>
  <c r="X33" i="54" s="1"/>
  <c r="BA33" i="54"/>
  <c r="AZ33" i="54" s="1"/>
  <c r="BD33" i="54" s="1"/>
  <c r="BE33" i="54" s="1"/>
  <c r="BF33" i="54" s="1"/>
  <c r="BG33" i="54" s="1"/>
  <c r="BH33" i="54" s="1"/>
  <c r="AK33" i="54"/>
  <c r="AJ33" i="54" s="1"/>
  <c r="AN33" i="54" s="1"/>
  <c r="BH58" i="54"/>
  <c r="CH90" i="54"/>
  <c r="CP89" i="54" s="1"/>
  <c r="CG58" i="54"/>
  <c r="CK58" i="54" s="1"/>
  <c r="AQ58" i="54"/>
  <c r="AQ90" i="54" s="1"/>
  <c r="BQ33" i="54"/>
  <c r="BU33" i="54" s="1"/>
  <c r="CH33" i="54"/>
  <c r="CG33" i="54" s="1"/>
  <c r="CK33" i="54" s="1"/>
  <c r="CL33" i="54" s="1"/>
  <c r="CM33" i="54" s="1"/>
  <c r="CN33" i="54" s="1"/>
  <c r="CO33" i="54" s="1"/>
  <c r="DN33" i="54"/>
  <c r="DM33" i="54" s="1"/>
  <c r="DQ33" i="54" s="1"/>
  <c r="DR33" i="54" s="1"/>
  <c r="DS33" i="54" s="1"/>
  <c r="DT33" i="54" s="1"/>
  <c r="DU33" i="54" s="1"/>
  <c r="CX33" i="54"/>
  <c r="CW33" i="54" s="1"/>
  <c r="DA33" i="54" s="1"/>
  <c r="DB33" i="54" s="1"/>
  <c r="DC33" i="54" s="1"/>
  <c r="DD33" i="54" s="1"/>
  <c r="DE33" i="54" s="1"/>
  <c r="C48" i="2"/>
  <c r="G23" i="57" s="1"/>
  <c r="F23" i="57"/>
  <c r="E67" i="54"/>
  <c r="E99" i="54" s="1"/>
  <c r="H66" i="54"/>
  <c r="H98" i="54" s="1"/>
  <c r="D20" i="7"/>
  <c r="D120" i="13"/>
  <c r="J92" i="13"/>
  <c r="F120" i="13" s="1"/>
  <c r="H23" i="2"/>
  <c r="E19" i="11" s="1"/>
  <c r="I27" i="4"/>
  <c r="J27" i="57" s="1"/>
  <c r="B20" i="7"/>
  <c r="D23" i="2"/>
  <c r="AR58" i="54" l="1"/>
  <c r="AS58" i="54" s="1"/>
  <c r="AT59" i="54"/>
  <c r="AV59" i="54" s="1"/>
  <c r="AL59" i="54"/>
  <c r="AL91" i="54" s="1"/>
  <c r="AK59" i="54"/>
  <c r="AK91" i="54" s="1"/>
  <c r="AS90" i="54" s="1"/>
  <c r="CL58" i="54"/>
  <c r="CL90" i="54" s="1"/>
  <c r="BB59" i="54"/>
  <c r="BB91" i="54" s="1"/>
  <c r="BI58" i="54"/>
  <c r="BJ59" i="54"/>
  <c r="BL59" i="54" s="1"/>
  <c r="BA59" i="54"/>
  <c r="BA91" i="54" s="1"/>
  <c r="BI90" i="54" s="1"/>
  <c r="AG33" i="54"/>
  <c r="AO33" i="54"/>
  <c r="AP33" i="54" s="1"/>
  <c r="AQ33" i="54" s="1"/>
  <c r="AR33" i="54" s="1"/>
  <c r="BJ34" i="54" s="1"/>
  <c r="BL34" i="54" s="1"/>
  <c r="BI33" i="54"/>
  <c r="Y33" i="54"/>
  <c r="Z33" i="54" s="1"/>
  <c r="AA33" i="54" s="1"/>
  <c r="AB33" i="54" s="1"/>
  <c r="V34" i="54"/>
  <c r="G48" i="2"/>
  <c r="H48" i="2" s="1"/>
  <c r="H23" i="57" s="1"/>
  <c r="DF33" i="54"/>
  <c r="DG34" i="54"/>
  <c r="DI34" i="54" s="1"/>
  <c r="DT58" i="54"/>
  <c r="DT90" i="54" s="1"/>
  <c r="DU58" i="54"/>
  <c r="DW34" i="54"/>
  <c r="DY34" i="54" s="1"/>
  <c r="DV33" i="54"/>
  <c r="CP33" i="54"/>
  <c r="CQ34" i="54"/>
  <c r="CS34" i="54" s="1"/>
  <c r="DB58" i="54"/>
  <c r="DB90" i="54" s="1"/>
  <c r="BV33" i="54"/>
  <c r="BW33" i="54" s="1"/>
  <c r="BX33" i="54" s="1"/>
  <c r="BY33" i="54" s="1"/>
  <c r="BS34" i="54"/>
  <c r="I66" i="54"/>
  <c r="H120" i="13"/>
  <c r="I120" i="13" s="1"/>
  <c r="J120" i="13" s="1"/>
  <c r="C27" i="15"/>
  <c r="L92" i="13"/>
  <c r="D20" i="8"/>
  <c r="C21" i="8" s="1"/>
  <c r="E79" i="2"/>
  <c r="Q21" i="10"/>
  <c r="R21" i="10" s="1"/>
  <c r="E53" i="2"/>
  <c r="C28" i="57" s="1"/>
  <c r="B53" i="2"/>
  <c r="C20" i="11" s="1"/>
  <c r="B24" i="2"/>
  <c r="F24" i="2" s="1"/>
  <c r="H28" i="4"/>
  <c r="I28" i="57" s="1"/>
  <c r="F20" i="7"/>
  <c r="DC58" i="54" l="1"/>
  <c r="CM58" i="54"/>
  <c r="BR34" i="54"/>
  <c r="BZ33" i="54"/>
  <c r="BQ34" i="54"/>
  <c r="BU34" i="54" s="1"/>
  <c r="DD58" i="54"/>
  <c r="DD90" i="54" s="1"/>
  <c r="DE58" i="54"/>
  <c r="AZ59" i="54"/>
  <c r="BD59" i="54" s="1"/>
  <c r="CN58" i="54"/>
  <c r="CN90" i="54" s="1"/>
  <c r="AL34" i="54"/>
  <c r="BB34" i="54"/>
  <c r="AC33" i="54"/>
  <c r="U34" i="54"/>
  <c r="CD33" i="54"/>
  <c r="AJ59" i="54"/>
  <c r="AN59" i="54" s="1"/>
  <c r="DV58" i="54"/>
  <c r="AS33" i="54"/>
  <c r="AT34" i="54"/>
  <c r="AV34" i="54" s="1"/>
  <c r="CY34" i="54"/>
  <c r="DO34" i="54"/>
  <c r="CI34" i="54"/>
  <c r="I48" i="2"/>
  <c r="J48" i="2" s="1"/>
  <c r="E23" i="4" s="1"/>
  <c r="J66" i="54"/>
  <c r="J98" i="54" s="1"/>
  <c r="L120" i="13"/>
  <c r="M120" i="13" s="1"/>
  <c r="D28" i="4"/>
  <c r="I93" i="13"/>
  <c r="J93" i="13" s="1"/>
  <c r="F121" i="13" s="1"/>
  <c r="F53" i="2"/>
  <c r="D28" i="57" s="1"/>
  <c r="T21" i="10"/>
  <c r="S21" i="10"/>
  <c r="B80" i="2"/>
  <c r="B28" i="4"/>
  <c r="G28" i="4" s="1"/>
  <c r="L28" i="57" s="1"/>
  <c r="C24" i="2"/>
  <c r="G24" i="2" s="1"/>
  <c r="M53" i="2" s="1"/>
  <c r="O53" i="2" s="1"/>
  <c r="E28" i="57" s="1"/>
  <c r="E21" i="7"/>
  <c r="CO58" i="54" l="1"/>
  <c r="K48" i="2"/>
  <c r="T34" i="54"/>
  <c r="X34" i="54" s="1"/>
  <c r="AK34" i="54"/>
  <c r="AJ34" i="54" s="1"/>
  <c r="AN34" i="54" s="1"/>
  <c r="BA34" i="54"/>
  <c r="AZ34" i="54" s="1"/>
  <c r="BD34" i="54" s="1"/>
  <c r="BE34" i="54" s="1"/>
  <c r="BF34" i="54" s="1"/>
  <c r="BG34" i="54" s="1"/>
  <c r="BH34" i="54" s="1"/>
  <c r="CP58" i="54"/>
  <c r="CD58" i="54"/>
  <c r="CI59" i="54"/>
  <c r="CI91" i="54" s="1"/>
  <c r="CQ59" i="54"/>
  <c r="CS59" i="54" s="1"/>
  <c r="CH59" i="54"/>
  <c r="CH91" i="54" s="1"/>
  <c r="DN59" i="54"/>
  <c r="BE59" i="54"/>
  <c r="BE91" i="54" s="1"/>
  <c r="DF58" i="54"/>
  <c r="DG59" i="54"/>
  <c r="DI59" i="54" s="1"/>
  <c r="CY59" i="54"/>
  <c r="CY91" i="54" s="1"/>
  <c r="CX59" i="54"/>
  <c r="CX91" i="54" s="1"/>
  <c r="DO59" i="54"/>
  <c r="DO91" i="54" s="1"/>
  <c r="BV34" i="54"/>
  <c r="BW34" i="54" s="1"/>
  <c r="BX34" i="54" s="1"/>
  <c r="BY34" i="54" s="1"/>
  <c r="BS35" i="54"/>
  <c r="DW59" i="54"/>
  <c r="DY59" i="54" s="1"/>
  <c r="AG59" i="54"/>
  <c r="AO59" i="54"/>
  <c r="AO91" i="54" s="1"/>
  <c r="CH34" i="54"/>
  <c r="CG34" i="54" s="1"/>
  <c r="CK34" i="54" s="1"/>
  <c r="CL34" i="54" s="1"/>
  <c r="CM34" i="54" s="1"/>
  <c r="CN34" i="54" s="1"/>
  <c r="CO34" i="54" s="1"/>
  <c r="DN34" i="54"/>
  <c r="DM34" i="54" s="1"/>
  <c r="DQ34" i="54" s="1"/>
  <c r="DR34" i="54" s="1"/>
  <c r="DS34" i="54" s="1"/>
  <c r="DT34" i="54" s="1"/>
  <c r="DU34" i="54" s="1"/>
  <c r="CX34" i="54"/>
  <c r="CW34" i="54" s="1"/>
  <c r="DA34" i="54" s="1"/>
  <c r="DB34" i="54" s="1"/>
  <c r="DC34" i="54" s="1"/>
  <c r="DD34" i="54" s="1"/>
  <c r="DE34" i="54" s="1"/>
  <c r="K66" i="54"/>
  <c r="D27" i="15"/>
  <c r="BA135" i="33"/>
  <c r="D21" i="7"/>
  <c r="D121" i="13"/>
  <c r="H121" i="13" s="1"/>
  <c r="L121" i="13" s="1"/>
  <c r="K93" i="13"/>
  <c r="G121" i="13" s="1"/>
  <c r="L93" i="13"/>
  <c r="I94" i="13" s="1"/>
  <c r="K94" i="13" s="1"/>
  <c r="G122" i="13" s="1"/>
  <c r="I16" i="7"/>
  <c r="D49" i="2"/>
  <c r="L48" i="2"/>
  <c r="F23" i="4"/>
  <c r="E19" i="5"/>
  <c r="H24" i="2"/>
  <c r="E20" i="11" s="1"/>
  <c r="H17" i="7"/>
  <c r="I28" i="4"/>
  <c r="J28" i="57" s="1"/>
  <c r="B21" i="7"/>
  <c r="D24" i="2"/>
  <c r="DF90" i="54" l="1"/>
  <c r="AP59" i="54"/>
  <c r="BF59" i="54"/>
  <c r="DN91" i="54"/>
  <c r="DV90" i="54" s="1"/>
  <c r="DM59" i="54"/>
  <c r="DQ59" i="54" s="1"/>
  <c r="CP90" i="54"/>
  <c r="DO35" i="54"/>
  <c r="CI35" i="54"/>
  <c r="CY35" i="54"/>
  <c r="CG59" i="54"/>
  <c r="CK59" i="54" s="1"/>
  <c r="BZ34" i="54"/>
  <c r="BR35" i="54"/>
  <c r="CW59" i="54"/>
  <c r="DA59" i="54" s="1"/>
  <c r="DG35" i="54"/>
  <c r="DI35" i="54" s="1"/>
  <c r="DF34" i="54"/>
  <c r="BI34" i="54"/>
  <c r="DV34" i="54"/>
  <c r="DW35" i="54"/>
  <c r="DY35" i="54" s="1"/>
  <c r="AG34" i="54"/>
  <c r="AO34" i="54"/>
  <c r="AP34" i="54" s="1"/>
  <c r="AQ34" i="54" s="1"/>
  <c r="AR34" i="54" s="1"/>
  <c r="CD34" i="54"/>
  <c r="CQ35" i="54"/>
  <c r="CS35" i="54" s="1"/>
  <c r="CP34" i="54"/>
  <c r="V35" i="54"/>
  <c r="Y34" i="54"/>
  <c r="Z34" i="54" s="1"/>
  <c r="AA34" i="54" s="1"/>
  <c r="AB34" i="54" s="1"/>
  <c r="C49" i="2"/>
  <c r="G24" i="57" s="1"/>
  <c r="F24" i="57"/>
  <c r="L66" i="54"/>
  <c r="D67" i="54"/>
  <c r="D99" i="54" s="1"/>
  <c r="L98" i="54" s="1"/>
  <c r="C28" i="15"/>
  <c r="E54" i="2"/>
  <c r="C29" i="57" s="1"/>
  <c r="D122" i="13"/>
  <c r="D21" i="8"/>
  <c r="C22" i="8" s="1"/>
  <c r="M121" i="13"/>
  <c r="D28" i="15"/>
  <c r="I121" i="13"/>
  <c r="J121" i="13" s="1"/>
  <c r="E80" i="2"/>
  <c r="Q22" i="10"/>
  <c r="R22" i="10" s="1"/>
  <c r="J94" i="13"/>
  <c r="B54" i="2"/>
  <c r="C21" i="11" s="1"/>
  <c r="H29" i="4"/>
  <c r="I29" i="57" s="1"/>
  <c r="B25" i="2"/>
  <c r="F25" i="2" s="1"/>
  <c r="F21" i="7"/>
  <c r="DB59" i="54" l="1"/>
  <c r="DB91" i="54" s="1"/>
  <c r="DC59" i="54"/>
  <c r="CL59" i="54"/>
  <c r="CL91" i="54" s="1"/>
  <c r="BQ35" i="54"/>
  <c r="BU35" i="54" s="1"/>
  <c r="CH35" i="54"/>
  <c r="CG35" i="54" s="1"/>
  <c r="CK35" i="54" s="1"/>
  <c r="CL35" i="54" s="1"/>
  <c r="CM35" i="54" s="1"/>
  <c r="CN35" i="54" s="1"/>
  <c r="CO35" i="54" s="1"/>
  <c r="DN35" i="54"/>
  <c r="DM35" i="54" s="1"/>
  <c r="DQ35" i="54" s="1"/>
  <c r="DR35" i="54" s="1"/>
  <c r="DS35" i="54" s="1"/>
  <c r="DT35" i="54" s="1"/>
  <c r="DU35" i="54" s="1"/>
  <c r="CX35" i="54"/>
  <c r="CW35" i="54" s="1"/>
  <c r="DA35" i="54" s="1"/>
  <c r="DB35" i="54" s="1"/>
  <c r="DC35" i="54" s="1"/>
  <c r="DD35" i="54" s="1"/>
  <c r="DE35" i="54" s="1"/>
  <c r="AS34" i="54"/>
  <c r="AT35" i="54"/>
  <c r="AV35" i="54" s="1"/>
  <c r="BB35" i="54"/>
  <c r="AL35" i="54"/>
  <c r="BJ35" i="54"/>
  <c r="BL35" i="54" s="1"/>
  <c r="DR59" i="54"/>
  <c r="DR91" i="54" s="1"/>
  <c r="BG59" i="54"/>
  <c r="BG91" i="54" s="1"/>
  <c r="BH59" i="54"/>
  <c r="AC34" i="54"/>
  <c r="U35" i="54"/>
  <c r="AQ59" i="54"/>
  <c r="AQ91" i="54" s="1"/>
  <c r="AR59" i="54"/>
  <c r="G49" i="2"/>
  <c r="H49" i="2" s="1"/>
  <c r="H24" i="57" s="1"/>
  <c r="C67" i="54"/>
  <c r="G67" i="54" s="1"/>
  <c r="H67" i="54" s="1"/>
  <c r="H99" i="54" s="1"/>
  <c r="D29" i="4"/>
  <c r="T22" i="10"/>
  <c r="S22" i="10"/>
  <c r="L94" i="13"/>
  <c r="F122" i="13"/>
  <c r="F54" i="2"/>
  <c r="D29" i="57" s="1"/>
  <c r="B81" i="2"/>
  <c r="B29" i="4"/>
  <c r="G29" i="4" s="1"/>
  <c r="L29" i="57" s="1"/>
  <c r="E22" i="7"/>
  <c r="C25" i="2"/>
  <c r="DS59" i="54" l="1"/>
  <c r="DF35" i="54"/>
  <c r="DG36" i="54"/>
  <c r="DI36" i="54" s="1"/>
  <c r="DV35" i="54"/>
  <c r="DW36" i="54"/>
  <c r="DY36" i="54" s="1"/>
  <c r="AS59" i="54"/>
  <c r="AT60" i="54"/>
  <c r="AV60" i="54" s="1"/>
  <c r="AL60" i="54"/>
  <c r="AL92" i="54" s="1"/>
  <c r="AK60" i="54"/>
  <c r="AK92" i="54" s="1"/>
  <c r="CP35" i="54"/>
  <c r="CQ36" i="54"/>
  <c r="CS36" i="54" s="1"/>
  <c r="BV35" i="54"/>
  <c r="BW35" i="54" s="1"/>
  <c r="BX35" i="54" s="1"/>
  <c r="BY35" i="54" s="1"/>
  <c r="CD35" i="54" s="1"/>
  <c r="BS36" i="54"/>
  <c r="CM59" i="54"/>
  <c r="T35" i="54"/>
  <c r="X35" i="54" s="1"/>
  <c r="BA35" i="54"/>
  <c r="AZ35" i="54" s="1"/>
  <c r="BD35" i="54" s="1"/>
  <c r="BE35" i="54" s="1"/>
  <c r="BF35" i="54" s="1"/>
  <c r="BG35" i="54" s="1"/>
  <c r="BH35" i="54" s="1"/>
  <c r="AK35" i="54"/>
  <c r="AJ35" i="54" s="1"/>
  <c r="AN35" i="54" s="1"/>
  <c r="DT59" i="54"/>
  <c r="DT91" i="54" s="1"/>
  <c r="E68" i="54"/>
  <c r="E100" i="54" s="1"/>
  <c r="BI59" i="54"/>
  <c r="BJ60" i="54"/>
  <c r="BL60" i="54" s="1"/>
  <c r="BB60" i="54"/>
  <c r="BB92" i="54" s="1"/>
  <c r="BA60" i="54"/>
  <c r="BA92" i="54" s="1"/>
  <c r="BI91" i="54" s="1"/>
  <c r="DD59" i="54"/>
  <c r="DD91" i="54" s="1"/>
  <c r="I67" i="54"/>
  <c r="D22" i="7"/>
  <c r="H122" i="13"/>
  <c r="L122" i="13" s="1"/>
  <c r="M122" i="13" s="1"/>
  <c r="C29" i="15"/>
  <c r="I95" i="13"/>
  <c r="D123" i="13" s="1"/>
  <c r="G25" i="2"/>
  <c r="I49" i="2"/>
  <c r="J49" i="2" s="1"/>
  <c r="D25" i="2"/>
  <c r="B22" i="7"/>
  <c r="I29" i="4"/>
  <c r="J29" i="57" s="1"/>
  <c r="DE59" i="54" l="1"/>
  <c r="AS91" i="54"/>
  <c r="AJ60" i="54"/>
  <c r="AN60" i="54" s="1"/>
  <c r="BI35" i="54"/>
  <c r="DF59" i="54"/>
  <c r="CN59" i="54"/>
  <c r="CN91" i="54" s="1"/>
  <c r="CO59" i="54"/>
  <c r="CI36" i="54"/>
  <c r="CY36" i="54"/>
  <c r="DO36" i="54"/>
  <c r="DU59" i="54"/>
  <c r="AZ60" i="54"/>
  <c r="BD60" i="54" s="1"/>
  <c r="AG35" i="54"/>
  <c r="AO35" i="54"/>
  <c r="AP35" i="54" s="1"/>
  <c r="AQ35" i="54" s="1"/>
  <c r="AR35" i="54" s="1"/>
  <c r="Y35" i="54"/>
  <c r="Z35" i="54" s="1"/>
  <c r="AA35" i="54" s="1"/>
  <c r="AB35" i="54" s="1"/>
  <c r="V36" i="54"/>
  <c r="BZ35" i="54"/>
  <c r="BR36" i="54"/>
  <c r="BQ36" i="54" s="1"/>
  <c r="BU36" i="54" s="1"/>
  <c r="J67" i="54"/>
  <c r="J99" i="54" s="1"/>
  <c r="E24" i="4"/>
  <c r="I17" i="7" s="1"/>
  <c r="D29" i="15"/>
  <c r="J95" i="13"/>
  <c r="L95" i="13" s="1"/>
  <c r="I122" i="13"/>
  <c r="J122" i="13" s="1"/>
  <c r="K95" i="13"/>
  <c r="G123" i="13" s="1"/>
  <c r="M54" i="2"/>
  <c r="O54" i="2" s="1"/>
  <c r="E29" i="57" s="1"/>
  <c r="H25" i="2"/>
  <c r="E21" i="11" s="1"/>
  <c r="E55" i="2"/>
  <c r="C30" i="57" s="1"/>
  <c r="K49" i="2"/>
  <c r="F22" i="7"/>
  <c r="H30" i="4"/>
  <c r="I30" i="57" s="1"/>
  <c r="B26" i="2"/>
  <c r="F26" i="2" s="1"/>
  <c r="BV36" i="54" l="1"/>
  <c r="BW36" i="54" s="1"/>
  <c r="BX36" i="54" s="1"/>
  <c r="BY36" i="54" s="1"/>
  <c r="BS37" i="54"/>
  <c r="CI60" i="54"/>
  <c r="CI92" i="54" s="1"/>
  <c r="CQ60" i="54"/>
  <c r="CS60" i="54" s="1"/>
  <c r="CP59" i="54"/>
  <c r="CD59" i="54"/>
  <c r="CH60" i="54"/>
  <c r="CH92" i="54" s="1"/>
  <c r="CP91" i="54" s="1"/>
  <c r="CX60" i="54"/>
  <c r="CX36" i="54"/>
  <c r="CW36" i="54" s="1"/>
  <c r="DA36" i="54" s="1"/>
  <c r="DB36" i="54" s="1"/>
  <c r="DC36" i="54" s="1"/>
  <c r="DD36" i="54" s="1"/>
  <c r="DE36" i="54" s="1"/>
  <c r="DN36" i="54"/>
  <c r="DM36" i="54" s="1"/>
  <c r="DQ36" i="54" s="1"/>
  <c r="DR36" i="54" s="1"/>
  <c r="DS36" i="54" s="1"/>
  <c r="DT36" i="54" s="1"/>
  <c r="DU36" i="54" s="1"/>
  <c r="CH36" i="54"/>
  <c r="CG36" i="54" s="1"/>
  <c r="CK36" i="54" s="1"/>
  <c r="CL36" i="54" s="1"/>
  <c r="CM36" i="54" s="1"/>
  <c r="CN36" i="54" s="1"/>
  <c r="CO36" i="54" s="1"/>
  <c r="U36" i="54"/>
  <c r="AC35" i="54"/>
  <c r="DG60" i="54"/>
  <c r="DI60" i="54" s="1"/>
  <c r="AS35" i="54"/>
  <c r="AT36" i="54"/>
  <c r="AV36" i="54" s="1"/>
  <c r="CY60" i="54"/>
  <c r="CY92" i="54" s="1"/>
  <c r="BE60" i="54"/>
  <c r="BE92" i="54" s="1"/>
  <c r="BF60" i="54"/>
  <c r="BJ36" i="54"/>
  <c r="BL36" i="54" s="1"/>
  <c r="DV59" i="54"/>
  <c r="DW60" i="54"/>
  <c r="DY60" i="54" s="1"/>
  <c r="DO60" i="54"/>
  <c r="DO92" i="54" s="1"/>
  <c r="DN60" i="54"/>
  <c r="DN92" i="54" s="1"/>
  <c r="BB36" i="54"/>
  <c r="AL36" i="54"/>
  <c r="AO60" i="54"/>
  <c r="AO92" i="54" s="1"/>
  <c r="AG60" i="54"/>
  <c r="K67" i="54"/>
  <c r="D30" i="4"/>
  <c r="D50" i="2"/>
  <c r="F25" i="57" s="1"/>
  <c r="F123" i="13"/>
  <c r="H123" i="13" s="1"/>
  <c r="L123" i="13" s="1"/>
  <c r="M123" i="13" s="1"/>
  <c r="D22" i="8"/>
  <c r="C23" i="8" s="1"/>
  <c r="E81" i="2"/>
  <c r="Q23" i="10"/>
  <c r="R23" i="10" s="1"/>
  <c r="L49" i="2"/>
  <c r="E20" i="5"/>
  <c r="F24" i="4"/>
  <c r="B55" i="2"/>
  <c r="C22" i="11" s="1"/>
  <c r="E23" i="7"/>
  <c r="C26" i="2"/>
  <c r="CQ37" i="54" l="1"/>
  <c r="CS37" i="54" s="1"/>
  <c r="CD36" i="54"/>
  <c r="CP36" i="54"/>
  <c r="CX92" i="54"/>
  <c r="DF91" i="54" s="1"/>
  <c r="CW60" i="54"/>
  <c r="DA60" i="54" s="1"/>
  <c r="AP60" i="54"/>
  <c r="CG60" i="54"/>
  <c r="CK60" i="54" s="1"/>
  <c r="DV36" i="54"/>
  <c r="DW37" i="54"/>
  <c r="DY37" i="54" s="1"/>
  <c r="DF36" i="54"/>
  <c r="DG37" i="54"/>
  <c r="DI37" i="54" s="1"/>
  <c r="DV91" i="54"/>
  <c r="CI37" i="54"/>
  <c r="CY37" i="54"/>
  <c r="DO37" i="54"/>
  <c r="BG60" i="54"/>
  <c r="BG92" i="54" s="1"/>
  <c r="DM60" i="54"/>
  <c r="DQ60" i="54" s="1"/>
  <c r="T36" i="54"/>
  <c r="X36" i="54" s="1"/>
  <c r="BA36" i="54"/>
  <c r="AZ36" i="54" s="1"/>
  <c r="BD36" i="54" s="1"/>
  <c r="BE36" i="54" s="1"/>
  <c r="BF36" i="54" s="1"/>
  <c r="BG36" i="54" s="1"/>
  <c r="BH36" i="54" s="1"/>
  <c r="AK36" i="54"/>
  <c r="AJ36" i="54" s="1"/>
  <c r="AN36" i="54" s="1"/>
  <c r="BZ36" i="54"/>
  <c r="BR37" i="54"/>
  <c r="BQ37" i="54" s="1"/>
  <c r="BU37" i="54" s="1"/>
  <c r="BV37" i="54" s="1"/>
  <c r="BW37" i="54" s="1"/>
  <c r="BX37" i="54" s="1"/>
  <c r="BY37" i="54" s="1"/>
  <c r="BZ37" i="54" s="1"/>
  <c r="D68" i="54"/>
  <c r="D100" i="54" s="1"/>
  <c r="L99" i="54" s="1"/>
  <c r="L67" i="54"/>
  <c r="BA136" i="33"/>
  <c r="D30" i="15"/>
  <c r="G30" i="15" s="1"/>
  <c r="I123" i="13"/>
  <c r="J123" i="13" s="1"/>
  <c r="C30" i="15"/>
  <c r="F30" i="15" s="1"/>
  <c r="F29" i="15" s="1"/>
  <c r="F28" i="15" s="1"/>
  <c r="F27" i="15" s="1"/>
  <c r="F26" i="15" s="1"/>
  <c r="F25" i="15" s="1"/>
  <c r="F24" i="15" s="1"/>
  <c r="F23" i="15" s="1"/>
  <c r="F22" i="15" s="1"/>
  <c r="F21" i="15" s="1"/>
  <c r="F20" i="15" s="1"/>
  <c r="F19" i="15" s="1"/>
  <c r="F18" i="15" s="1"/>
  <c r="F17" i="15" s="1"/>
  <c r="F16" i="15" s="1"/>
  <c r="F15" i="15" s="1"/>
  <c r="F14" i="15" s="1"/>
  <c r="F13" i="15" s="1"/>
  <c r="F12" i="15" s="1"/>
  <c r="F11" i="15" s="1"/>
  <c r="S23" i="10"/>
  <c r="T23" i="10"/>
  <c r="F55" i="2"/>
  <c r="D30" i="57" s="1"/>
  <c r="B82" i="2"/>
  <c r="B30" i="4"/>
  <c r="G30" i="4" s="1"/>
  <c r="L30" i="57" s="1"/>
  <c r="C50" i="2"/>
  <c r="G25" i="57" s="1"/>
  <c r="G26" i="2"/>
  <c r="H18" i="7"/>
  <c r="D26" i="2"/>
  <c r="BH60" i="54" l="1"/>
  <c r="V37" i="54"/>
  <c r="Y36" i="54"/>
  <c r="Z36" i="54" s="1"/>
  <c r="AA36" i="54" s="1"/>
  <c r="AB36" i="54" s="1"/>
  <c r="DR60" i="54"/>
  <c r="DR92" i="54" s="1"/>
  <c r="CL60" i="54"/>
  <c r="CL92" i="54" s="1"/>
  <c r="AQ60" i="54"/>
  <c r="AQ92" i="54" s="1"/>
  <c r="AR60" i="54"/>
  <c r="DB60" i="54"/>
  <c r="DB92" i="54" s="1"/>
  <c r="BI60" i="54"/>
  <c r="BJ61" i="54"/>
  <c r="BL61" i="54" s="1"/>
  <c r="BI36" i="54"/>
  <c r="AG36" i="54"/>
  <c r="AO36" i="54"/>
  <c r="AP36" i="54" s="1"/>
  <c r="AQ36" i="54" s="1"/>
  <c r="AR36" i="54" s="1"/>
  <c r="CX37" i="54"/>
  <c r="CW37" i="54" s="1"/>
  <c r="DA37" i="54" s="1"/>
  <c r="DN37" i="54"/>
  <c r="DM37" i="54" s="1"/>
  <c r="DQ37" i="54" s="1"/>
  <c r="DR37" i="54" s="1"/>
  <c r="DS37" i="54" s="1"/>
  <c r="DT37" i="54" s="1"/>
  <c r="DU37" i="54" s="1"/>
  <c r="DV37" i="54" s="1"/>
  <c r="CH37" i="54"/>
  <c r="CG37" i="54" s="1"/>
  <c r="CK37" i="54" s="1"/>
  <c r="CL37" i="54" s="1"/>
  <c r="CM37" i="54" s="1"/>
  <c r="CN37" i="54" s="1"/>
  <c r="CO37" i="54" s="1"/>
  <c r="G29" i="15"/>
  <c r="C68" i="54"/>
  <c r="G68" i="54" s="1"/>
  <c r="H68" i="54" s="1"/>
  <c r="H100" i="54" s="1"/>
  <c r="D23" i="7"/>
  <c r="B23" i="7"/>
  <c r="G50" i="2"/>
  <c r="I30" i="4"/>
  <c r="J30" i="57" s="1"/>
  <c r="E56" i="2"/>
  <c r="C31" i="57" s="1"/>
  <c r="M55" i="2"/>
  <c r="O55" i="2" s="1"/>
  <c r="E30" i="57" s="1"/>
  <c r="H26" i="2"/>
  <c r="E22" i="11" s="1"/>
  <c r="H31" i="4"/>
  <c r="I31" i="57" s="1"/>
  <c r="B27" i="2"/>
  <c r="F27" i="2" s="1"/>
  <c r="CP37" i="54" l="1"/>
  <c r="AK61" i="54"/>
  <c r="AK93" i="54" s="1"/>
  <c r="AS60" i="54"/>
  <c r="AL61" i="54"/>
  <c r="AL93" i="54" s="1"/>
  <c r="AT61" i="54"/>
  <c r="AV61" i="54" s="1"/>
  <c r="CM60" i="54"/>
  <c r="DC60" i="54"/>
  <c r="DB37" i="54"/>
  <c r="DC37" i="54" s="1"/>
  <c r="DD37" i="54" s="1"/>
  <c r="DE37" i="54" s="1"/>
  <c r="DS60" i="54"/>
  <c r="AS36" i="54"/>
  <c r="AT37" i="54"/>
  <c r="AV37" i="54" s="1"/>
  <c r="BJ37" i="54"/>
  <c r="BL37" i="54" s="1"/>
  <c r="AC36" i="54"/>
  <c r="U37" i="54"/>
  <c r="BA61" i="54"/>
  <c r="BB61" i="54"/>
  <c r="BB93" i="54" s="1"/>
  <c r="BB37" i="54"/>
  <c r="AL37" i="54"/>
  <c r="G28" i="15"/>
  <c r="I68" i="54"/>
  <c r="J68" i="54" s="1"/>
  <c r="J100" i="54" s="1"/>
  <c r="N100" i="54" s="1"/>
  <c r="N99" i="54" s="1"/>
  <c r="N98" i="54" s="1"/>
  <c r="N97" i="54" s="1"/>
  <c r="N96" i="54" s="1"/>
  <c r="N95" i="54" s="1"/>
  <c r="N94" i="54" s="1"/>
  <c r="N93" i="54" s="1"/>
  <c r="N92" i="54" s="1"/>
  <c r="N91" i="54" s="1"/>
  <c r="N90" i="54" s="1"/>
  <c r="N89" i="54" s="1"/>
  <c r="N88" i="54" s="1"/>
  <c r="N87" i="54" s="1"/>
  <c r="N86" i="54" s="1"/>
  <c r="N85" i="54" s="1"/>
  <c r="N84" i="54" s="1"/>
  <c r="N83" i="54" s="1"/>
  <c r="N82" i="54" s="1"/>
  <c r="D31" i="4"/>
  <c r="F23" i="7"/>
  <c r="D23" i="8"/>
  <c r="C24" i="8" s="1"/>
  <c r="E82" i="2"/>
  <c r="Q24" i="10"/>
  <c r="R24" i="10" s="1"/>
  <c r="B56" i="2"/>
  <c r="C23" i="11" s="1"/>
  <c r="H50" i="2"/>
  <c r="H25" i="57" s="1"/>
  <c r="E24" i="7"/>
  <c r="C27" i="2"/>
  <c r="DF37" i="54" l="1"/>
  <c r="CD37" i="54"/>
  <c r="DT60" i="54"/>
  <c r="DT92" i="54" s="1"/>
  <c r="DD60" i="54"/>
  <c r="DD92" i="54" s="1"/>
  <c r="DE60" i="54"/>
  <c r="CN60" i="54"/>
  <c r="CN92" i="54" s="1"/>
  <c r="AJ61" i="54"/>
  <c r="AN61" i="54" s="1"/>
  <c r="BA93" i="54"/>
  <c r="BI92" i="54" s="1"/>
  <c r="AZ61" i="54"/>
  <c r="BD61" i="54" s="1"/>
  <c r="T37" i="54"/>
  <c r="X37" i="54" s="1"/>
  <c r="Y37" i="54" s="1"/>
  <c r="Z37" i="54" s="1"/>
  <c r="AA37" i="54" s="1"/>
  <c r="AB37" i="54" s="1"/>
  <c r="AC37" i="54" s="1"/>
  <c r="BA37" i="54"/>
  <c r="AZ37" i="54" s="1"/>
  <c r="BD37" i="54" s="1"/>
  <c r="BE37" i="54" s="1"/>
  <c r="BF37" i="54" s="1"/>
  <c r="BG37" i="54" s="1"/>
  <c r="BH37" i="54" s="1"/>
  <c r="BI37" i="54" s="1"/>
  <c r="AK37" i="54"/>
  <c r="AJ37" i="54" s="1"/>
  <c r="AN37" i="54" s="1"/>
  <c r="AS92" i="54"/>
  <c r="G27" i="15"/>
  <c r="B11" i="55"/>
  <c r="G15" i="43" s="1"/>
  <c r="N81" i="54"/>
  <c r="L100" i="54"/>
  <c r="N77" i="54" s="1"/>
  <c r="K68" i="54"/>
  <c r="L68" i="54" s="1"/>
  <c r="B31" i="4"/>
  <c r="G31" i="4" s="1"/>
  <c r="L31" i="57" s="1"/>
  <c r="F56" i="2"/>
  <c r="D31" i="57" s="1"/>
  <c r="T24" i="10"/>
  <c r="S24" i="10"/>
  <c r="G27" i="2"/>
  <c r="B83" i="2"/>
  <c r="I50" i="2"/>
  <c r="D27" i="2"/>
  <c r="DU60" i="54" l="1"/>
  <c r="CO60" i="54"/>
  <c r="DW61" i="54" s="1"/>
  <c r="DY61" i="54" s="1"/>
  <c r="CH61" i="54"/>
  <c r="CH93" i="54" s="1"/>
  <c r="DG61" i="54"/>
  <c r="DI61" i="54" s="1"/>
  <c r="CY61" i="54"/>
  <c r="CY93" i="54" s="1"/>
  <c r="DF60" i="54"/>
  <c r="CX61" i="54"/>
  <c r="CX93" i="54" s="1"/>
  <c r="BE61" i="54"/>
  <c r="BE93" i="54" s="1"/>
  <c r="DV60" i="54"/>
  <c r="DO61" i="54"/>
  <c r="DO93" i="54" s="1"/>
  <c r="DN61" i="54"/>
  <c r="DN93" i="54" s="1"/>
  <c r="DV92" i="54" s="1"/>
  <c r="AG61" i="54"/>
  <c r="AO61" i="54"/>
  <c r="AO93" i="54" s="1"/>
  <c r="CI61" i="54"/>
  <c r="CI93" i="54" s="1"/>
  <c r="CP60" i="54"/>
  <c r="CD60" i="54"/>
  <c r="CQ61" i="54"/>
  <c r="CS61" i="54" s="1"/>
  <c r="CG61" i="54"/>
  <c r="CK61" i="54" s="1"/>
  <c r="AG37" i="54"/>
  <c r="AO37" i="54"/>
  <c r="AP37" i="54" s="1"/>
  <c r="AQ37" i="54" s="1"/>
  <c r="AR37" i="54" s="1"/>
  <c r="AS37" i="54" s="1"/>
  <c r="G26" i="15"/>
  <c r="O90" i="54"/>
  <c r="O93" i="54"/>
  <c r="O96" i="54"/>
  <c r="O89" i="54"/>
  <c r="O84" i="54"/>
  <c r="O101" i="54"/>
  <c r="O85" i="54"/>
  <c r="O99" i="54"/>
  <c r="O81" i="54"/>
  <c r="O87" i="54"/>
  <c r="O88" i="54"/>
  <c r="O82" i="54"/>
  <c r="O83" i="54"/>
  <c r="O91" i="54"/>
  <c r="O97" i="54"/>
  <c r="O94" i="54"/>
  <c r="O95" i="54"/>
  <c r="O92" i="54"/>
  <c r="O86" i="54"/>
  <c r="O100" i="54"/>
  <c r="O98" i="54"/>
  <c r="I31" i="4"/>
  <c r="J31" i="57" s="1"/>
  <c r="B24" i="7"/>
  <c r="D24" i="7"/>
  <c r="M56" i="2"/>
  <c r="O56" i="2" s="1"/>
  <c r="E31" i="57" s="1"/>
  <c r="H27" i="2"/>
  <c r="E23" i="11" s="1"/>
  <c r="E57" i="2"/>
  <c r="C32" i="57" s="1"/>
  <c r="J50" i="2"/>
  <c r="H32" i="4"/>
  <c r="I32" i="57" s="1"/>
  <c r="B28" i="2"/>
  <c r="F28" i="2" s="1"/>
  <c r="CW61" i="54" l="1"/>
  <c r="DA61" i="54" s="1"/>
  <c r="DF92" i="54"/>
  <c r="BF61" i="54"/>
  <c r="CL61" i="54"/>
  <c r="CL93" i="54" s="1"/>
  <c r="CM61" i="54"/>
  <c r="BG61" i="54"/>
  <c r="BG93" i="54" s="1"/>
  <c r="BH61" i="54"/>
  <c r="DB61" i="54"/>
  <c r="DB93" i="54" s="1"/>
  <c r="AP61" i="54"/>
  <c r="DM61" i="54"/>
  <c r="DQ61" i="54" s="1"/>
  <c r="CP92" i="54"/>
  <c r="G25" i="15"/>
  <c r="O77" i="54"/>
  <c r="P81" i="54" s="1"/>
  <c r="P82" i="54" s="1"/>
  <c r="P83" i="54" s="1"/>
  <c r="P84" i="54" s="1"/>
  <c r="P85" i="54" s="1"/>
  <c r="P86" i="54" s="1"/>
  <c r="P87" i="54" s="1"/>
  <c r="P88" i="54" s="1"/>
  <c r="P89" i="54" s="1"/>
  <c r="P90" i="54" s="1"/>
  <c r="P91" i="54" s="1"/>
  <c r="P92" i="54" s="1"/>
  <c r="P93" i="54" s="1"/>
  <c r="P94" i="54" s="1"/>
  <c r="P95" i="54" s="1"/>
  <c r="P96" i="54" s="1"/>
  <c r="P97" i="54" s="1"/>
  <c r="P98" i="54" s="1"/>
  <c r="P99" i="54" s="1"/>
  <c r="P100" i="54" s="1"/>
  <c r="F24" i="7"/>
  <c r="BA137" i="33"/>
  <c r="D32" i="4"/>
  <c r="D24" i="8"/>
  <c r="C25" i="8" s="1"/>
  <c r="E83" i="2"/>
  <c r="Q25" i="10"/>
  <c r="R25" i="10" s="1"/>
  <c r="E25" i="4"/>
  <c r="B57" i="2"/>
  <c r="C24" i="11" s="1"/>
  <c r="K50" i="2"/>
  <c r="E25" i="7"/>
  <c r="C28" i="2"/>
  <c r="DC61" i="54" l="1"/>
  <c r="DR61" i="54"/>
  <c r="DR93" i="54" s="1"/>
  <c r="AQ61" i="54"/>
  <c r="AQ93" i="54" s="1"/>
  <c r="DD61" i="54"/>
  <c r="DD93" i="54" s="1"/>
  <c r="BI61" i="54"/>
  <c r="CN61" i="54"/>
  <c r="CN93" i="54" s="1"/>
  <c r="G24" i="15"/>
  <c r="C11" i="55"/>
  <c r="D11" i="55" s="1"/>
  <c r="D51" i="2"/>
  <c r="F26" i="57" s="1"/>
  <c r="I18" i="7"/>
  <c r="F57" i="2"/>
  <c r="D32" i="57" s="1"/>
  <c r="T25" i="10"/>
  <c r="S25" i="10"/>
  <c r="L50" i="2"/>
  <c r="B84" i="2"/>
  <c r="B32" i="4"/>
  <c r="G32" i="4" s="1"/>
  <c r="L32" i="57" s="1"/>
  <c r="E21" i="5"/>
  <c r="F25" i="4"/>
  <c r="G28" i="2"/>
  <c r="D28" i="2"/>
  <c r="AR61" i="54" l="1"/>
  <c r="CO61" i="54"/>
  <c r="DE61" i="54"/>
  <c r="BA62" i="54"/>
  <c r="AS61" i="54"/>
  <c r="AL62" i="54"/>
  <c r="AL94" i="54" s="1"/>
  <c r="AK62" i="54"/>
  <c r="AK94" i="54" s="1"/>
  <c r="AS93" i="54" s="1"/>
  <c r="AT62" i="54"/>
  <c r="AV62" i="54" s="1"/>
  <c r="DS61" i="54"/>
  <c r="F15" i="43"/>
  <c r="G23" i="15"/>
  <c r="F11" i="55"/>
  <c r="M19" i="44"/>
  <c r="P19" i="58" s="1"/>
  <c r="D25" i="7"/>
  <c r="I32" i="4"/>
  <c r="B25" i="7"/>
  <c r="C51" i="2"/>
  <c r="G26" i="57" s="1"/>
  <c r="E58" i="2"/>
  <c r="C33" i="57" s="1"/>
  <c r="M57" i="2"/>
  <c r="O57" i="2" s="1"/>
  <c r="E32" i="57" s="1"/>
  <c r="H28" i="2"/>
  <c r="E24" i="11" s="1"/>
  <c r="H19" i="7"/>
  <c r="H33" i="4"/>
  <c r="I33" i="57" s="1"/>
  <c r="B29" i="2"/>
  <c r="F29" i="2" s="1"/>
  <c r="AJ62" i="54" l="1"/>
  <c r="AN62" i="54" s="1"/>
  <c r="BJ62" i="54"/>
  <c r="BL62" i="54" s="1"/>
  <c r="BB62" i="54"/>
  <c r="BB94" i="54" s="1"/>
  <c r="DT61" i="54"/>
  <c r="DT93" i="54" s="1"/>
  <c r="AO62" i="54"/>
  <c r="AO94" i="54" s="1"/>
  <c r="AP62" i="54"/>
  <c r="BA94" i="54"/>
  <c r="BI93" i="54" s="1"/>
  <c r="AZ62" i="54"/>
  <c r="BD62" i="54" s="1"/>
  <c r="DF61" i="54"/>
  <c r="CP61" i="54"/>
  <c r="G22" i="15"/>
  <c r="F25" i="7"/>
  <c r="J32" i="57"/>
  <c r="D33" i="4"/>
  <c r="D25" i="8"/>
  <c r="C26" i="8" s="1"/>
  <c r="E84" i="2"/>
  <c r="Q26" i="10"/>
  <c r="R26" i="10" s="1"/>
  <c r="G51" i="2"/>
  <c r="B58" i="2"/>
  <c r="C25" i="11" s="1"/>
  <c r="E26" i="7"/>
  <c r="C29" i="2"/>
  <c r="BE62" i="54" l="1"/>
  <c r="BE94" i="54" s="1"/>
  <c r="AQ62" i="54"/>
  <c r="AQ94" i="54" s="1"/>
  <c r="AR62" i="54"/>
  <c r="AG62" i="54"/>
  <c r="DU61" i="54"/>
  <c r="G21" i="15"/>
  <c r="F58" i="2"/>
  <c r="D33" i="57" s="1"/>
  <c r="S26" i="10"/>
  <c r="T26" i="10"/>
  <c r="B85" i="2"/>
  <c r="B33" i="4"/>
  <c r="G33" i="4" s="1"/>
  <c r="L33" i="57" s="1"/>
  <c r="G29" i="2"/>
  <c r="H51" i="2"/>
  <c r="H26" i="57" s="1"/>
  <c r="D29" i="2"/>
  <c r="BF62" i="54" l="1"/>
  <c r="DV61" i="54"/>
  <c r="DN62" i="54"/>
  <c r="DN94" i="54" s="1"/>
  <c r="DO62" i="54"/>
  <c r="DO94" i="54" s="1"/>
  <c r="DW62" i="54"/>
  <c r="DY62" i="54" s="1"/>
  <c r="CQ62" i="54"/>
  <c r="CS62" i="54" s="1"/>
  <c r="CD61" i="54"/>
  <c r="CH62" i="54"/>
  <c r="CI62" i="54"/>
  <c r="CI94" i="54" s="1"/>
  <c r="CX62" i="54"/>
  <c r="CY62" i="54"/>
  <c r="CY94" i="54" s="1"/>
  <c r="DG62" i="54"/>
  <c r="DI62" i="54" s="1"/>
  <c r="AS62" i="54"/>
  <c r="BG62" i="54"/>
  <c r="BG94" i="54" s="1"/>
  <c r="G20" i="15"/>
  <c r="BA138" i="33"/>
  <c r="D26" i="7"/>
  <c r="B26" i="7"/>
  <c r="I33" i="4"/>
  <c r="J33" i="57" s="1"/>
  <c r="M58" i="2"/>
  <c r="O58" i="2" s="1"/>
  <c r="E33" i="57" s="1"/>
  <c r="H29" i="2"/>
  <c r="E25" i="11" s="1"/>
  <c r="E59" i="2"/>
  <c r="C34" i="57" s="1"/>
  <c r="I51" i="2"/>
  <c r="H34" i="4"/>
  <c r="I34" i="57" s="1"/>
  <c r="B30" i="2"/>
  <c r="F30" i="2" s="1"/>
  <c r="BH62" i="54" l="1"/>
  <c r="DM62" i="54"/>
  <c r="DQ62" i="54" s="1"/>
  <c r="DR62" i="54" s="1"/>
  <c r="DR94" i="54" s="1"/>
  <c r="DV93" i="54"/>
  <c r="CX94" i="54"/>
  <c r="DF93" i="54" s="1"/>
  <c r="CW62" i="54"/>
  <c r="DA62" i="54" s="1"/>
  <c r="CH94" i="54"/>
  <c r="CP93" i="54" s="1"/>
  <c r="CG62" i="54"/>
  <c r="CK62" i="54" s="1"/>
  <c r="BI62" i="54"/>
  <c r="BB63" i="54"/>
  <c r="BB95" i="54" s="1"/>
  <c r="BJ63" i="54"/>
  <c r="BL63" i="54" s="1"/>
  <c r="BA63" i="54"/>
  <c r="BA95" i="54" s="1"/>
  <c r="AK63" i="54"/>
  <c r="AL63" i="54"/>
  <c r="AL95" i="54" s="1"/>
  <c r="AT63" i="54"/>
  <c r="AV63" i="54" s="1"/>
  <c r="G19" i="15"/>
  <c r="D34" i="4"/>
  <c r="D26" i="8"/>
  <c r="C27" i="8" s="1"/>
  <c r="E85" i="2"/>
  <c r="Q27" i="10"/>
  <c r="R27" i="10" s="1"/>
  <c r="F26" i="7"/>
  <c r="B59" i="2"/>
  <c r="C26" i="11" s="1"/>
  <c r="J51" i="2"/>
  <c r="E27" i="7"/>
  <c r="C30" i="2"/>
  <c r="G30" i="2" s="1"/>
  <c r="M59" i="2" s="1"/>
  <c r="O59" i="2" s="1"/>
  <c r="E34" i="57" s="1"/>
  <c r="DS62" i="54" l="1"/>
  <c r="DT62" i="54"/>
  <c r="DT94" i="54" s="1"/>
  <c r="DU62" i="54"/>
  <c r="AK95" i="54"/>
  <c r="AS94" i="54" s="1"/>
  <c r="AJ63" i="54"/>
  <c r="AN63" i="54" s="1"/>
  <c r="AZ63" i="54"/>
  <c r="BD63" i="54" s="1"/>
  <c r="BI94" i="54"/>
  <c r="CL62" i="54"/>
  <c r="CL94" i="54" s="1"/>
  <c r="DB62" i="54"/>
  <c r="DB94" i="54" s="1"/>
  <c r="G18" i="15"/>
  <c r="B34" i="4"/>
  <c r="G34" i="4" s="1"/>
  <c r="L34" i="57" s="1"/>
  <c r="S27" i="10"/>
  <c r="T27" i="10"/>
  <c r="F59" i="2"/>
  <c r="D34" i="57" s="1"/>
  <c r="E26" i="4"/>
  <c r="B86" i="2"/>
  <c r="H30" i="2"/>
  <c r="E26" i="11" s="1"/>
  <c r="K51" i="2"/>
  <c r="D30" i="2"/>
  <c r="CM62" i="54" l="1"/>
  <c r="DC62" i="54"/>
  <c r="AO63" i="54"/>
  <c r="AO95" i="54" s="1"/>
  <c r="AG63" i="54"/>
  <c r="AP63" i="54"/>
  <c r="BE63" i="54"/>
  <c r="BE95" i="54" s="1"/>
  <c r="DV62" i="54"/>
  <c r="CN62" i="54"/>
  <c r="CN94" i="54" s="1"/>
  <c r="G17" i="15"/>
  <c r="D27" i="7"/>
  <c r="I19" i="7"/>
  <c r="D52" i="2"/>
  <c r="F27" i="57" s="1"/>
  <c r="B27" i="7"/>
  <c r="I34" i="4"/>
  <c r="D27" i="8"/>
  <c r="C28" i="8" s="1"/>
  <c r="E86" i="2"/>
  <c r="Q28" i="10"/>
  <c r="R28" i="10" s="1"/>
  <c r="L51" i="2"/>
  <c r="E22" i="5"/>
  <c r="F26" i="4"/>
  <c r="B60" i="2"/>
  <c r="C27" i="11" s="1"/>
  <c r="E60" i="2"/>
  <c r="C35" i="57" s="1"/>
  <c r="B31" i="2"/>
  <c r="F31" i="2" s="1"/>
  <c r="H35" i="4"/>
  <c r="I35" i="57" s="1"/>
  <c r="BF63" i="54" l="1"/>
  <c r="BG63" i="54" s="1"/>
  <c r="AQ63" i="54"/>
  <c r="AQ95" i="54" s="1"/>
  <c r="CO62" i="54"/>
  <c r="DD62" i="54"/>
  <c r="DD94" i="54" s="1"/>
  <c r="G16" i="15"/>
  <c r="F27" i="7"/>
  <c r="J34" i="57"/>
  <c r="D35" i="4"/>
  <c r="F60" i="2"/>
  <c r="D35" i="57" s="1"/>
  <c r="T28" i="10"/>
  <c r="S28" i="10"/>
  <c r="C31" i="2"/>
  <c r="D31" i="2" s="1"/>
  <c r="C52" i="2"/>
  <c r="G27" i="57" s="1"/>
  <c r="H20" i="7"/>
  <c r="E28" i="7"/>
  <c r="B35" i="4"/>
  <c r="G35" i="4" s="1"/>
  <c r="L35" i="57" s="1"/>
  <c r="B87" i="2"/>
  <c r="BG95" i="54" l="1"/>
  <c r="BH63" i="54"/>
  <c r="DE62" i="54"/>
  <c r="DN63" i="54" s="1"/>
  <c r="DF62" i="54"/>
  <c r="DG63" i="54"/>
  <c r="DI63" i="54" s="1"/>
  <c r="CY63" i="54"/>
  <c r="CY95" i="54" s="1"/>
  <c r="CX63" i="54"/>
  <c r="CX95" i="54" s="1"/>
  <c r="CP62" i="54"/>
  <c r="CQ63" i="54"/>
  <c r="CS63" i="54" s="1"/>
  <c r="CH63" i="54"/>
  <c r="CH95" i="54" s="1"/>
  <c r="CD62" i="54"/>
  <c r="CI63" i="54"/>
  <c r="CI95" i="54" s="1"/>
  <c r="AR63" i="54"/>
  <c r="BI63" i="54"/>
  <c r="BA64" i="54"/>
  <c r="BA96" i="54" s="1"/>
  <c r="BJ64" i="54"/>
  <c r="BL64" i="54" s="1"/>
  <c r="BB64" i="54"/>
  <c r="BB96" i="54" s="1"/>
  <c r="G15" i="15"/>
  <c r="D28" i="7"/>
  <c r="G52" i="2"/>
  <c r="G31" i="2"/>
  <c r="M60" i="2" s="1"/>
  <c r="O60" i="2" s="1"/>
  <c r="E35" i="57" s="1"/>
  <c r="E61" i="2"/>
  <c r="C36" i="57" s="1"/>
  <c r="I35" i="4"/>
  <c r="J35" i="57" s="1"/>
  <c r="B28" i="7"/>
  <c r="H36" i="4"/>
  <c r="I36" i="57" s="1"/>
  <c r="B32" i="2"/>
  <c r="F32" i="2" s="1"/>
  <c r="AZ64" i="54" l="1"/>
  <c r="BD64" i="54" s="1"/>
  <c r="DW63" i="54"/>
  <c r="DY63" i="54" s="1"/>
  <c r="DO63" i="54"/>
  <c r="DO95" i="54" s="1"/>
  <c r="DF94" i="54"/>
  <c r="DN95" i="54"/>
  <c r="DM63" i="54"/>
  <c r="DQ63" i="54" s="1"/>
  <c r="BE64" i="54"/>
  <c r="BE96" i="54" s="1"/>
  <c r="CP94" i="54"/>
  <c r="CG63" i="54"/>
  <c r="CK63" i="54" s="1"/>
  <c r="CW63" i="54"/>
  <c r="DA63" i="54" s="1"/>
  <c r="BI95" i="54"/>
  <c r="AT64" i="54"/>
  <c r="AV64" i="54" s="1"/>
  <c r="AL64" i="54"/>
  <c r="AL96" i="54" s="1"/>
  <c r="AS63" i="54"/>
  <c r="AK64" i="54"/>
  <c r="AK96" i="54" s="1"/>
  <c r="G14" i="15"/>
  <c r="D36" i="4"/>
  <c r="H31" i="2"/>
  <c r="F28" i="7"/>
  <c r="H52" i="2"/>
  <c r="H27" i="57" s="1"/>
  <c r="E29" i="7"/>
  <c r="C32" i="2"/>
  <c r="DV94" i="54" l="1"/>
  <c r="AS95" i="54"/>
  <c r="CL63" i="54"/>
  <c r="CL95" i="54" s="1"/>
  <c r="BF64" i="54"/>
  <c r="DR63" i="54"/>
  <c r="DR95" i="54" s="1"/>
  <c r="DB63" i="54"/>
  <c r="DB95" i="54" s="1"/>
  <c r="AJ64" i="54"/>
  <c r="AN64" i="54" s="1"/>
  <c r="G13" i="15"/>
  <c r="D28" i="8"/>
  <c r="C29" i="8" s="1"/>
  <c r="E27" i="11"/>
  <c r="E87" i="2"/>
  <c r="BA139" i="33"/>
  <c r="B61" i="2"/>
  <c r="C28" i="11" s="1"/>
  <c r="Q29" i="10"/>
  <c r="R29" i="10" s="1"/>
  <c r="T29" i="10" s="1"/>
  <c r="G32" i="2"/>
  <c r="I52" i="2"/>
  <c r="J52" i="2" s="1"/>
  <c r="D32" i="2"/>
  <c r="B88" i="2" l="1"/>
  <c r="F61" i="2"/>
  <c r="D36" i="57" s="1"/>
  <c r="B36" i="4"/>
  <c r="G36" i="4" s="1"/>
  <c r="L36" i="57" s="1"/>
  <c r="DS63" i="54"/>
  <c r="CM63" i="54"/>
  <c r="DC63" i="54"/>
  <c r="DT63" i="54"/>
  <c r="DT95" i="54" s="1"/>
  <c r="BG64" i="54"/>
  <c r="BG96" i="54" s="1"/>
  <c r="BH64" i="54"/>
  <c r="CN63" i="54"/>
  <c r="CN95" i="54" s="1"/>
  <c r="AG64" i="54"/>
  <c r="AO64" i="54"/>
  <c r="AO96" i="54" s="1"/>
  <c r="AP64" i="54"/>
  <c r="G12" i="15"/>
  <c r="S29" i="10"/>
  <c r="E27" i="4"/>
  <c r="M61" i="2"/>
  <c r="O61" i="2" s="1"/>
  <c r="E36" i="57" s="1"/>
  <c r="H32" i="2"/>
  <c r="E28" i="11" s="1"/>
  <c r="E62" i="2"/>
  <c r="C37" i="57" s="1"/>
  <c r="K52" i="2"/>
  <c r="H37" i="4"/>
  <c r="I37" i="57" s="1"/>
  <c r="B33" i="2"/>
  <c r="F33" i="2" s="1"/>
  <c r="I36" i="4" l="1"/>
  <c r="J36" i="57" s="1"/>
  <c r="B29" i="7"/>
  <c r="D29" i="7"/>
  <c r="DU63" i="54"/>
  <c r="DV63" i="54" s="1"/>
  <c r="AQ64" i="54"/>
  <c r="AQ96" i="54" s="1"/>
  <c r="CO63" i="54"/>
  <c r="BI64" i="54"/>
  <c r="DD63" i="54"/>
  <c r="DD95" i="54" s="1"/>
  <c r="G11" i="15"/>
  <c r="D53" i="2"/>
  <c r="I20" i="7"/>
  <c r="D37" i="4"/>
  <c r="F29" i="7"/>
  <c r="D29" i="8"/>
  <c r="C30" i="8" s="1"/>
  <c r="E88" i="2"/>
  <c r="Q30" i="10"/>
  <c r="R30" i="10" s="1"/>
  <c r="L52" i="2"/>
  <c r="E23" i="5"/>
  <c r="F27" i="4"/>
  <c r="B62" i="2"/>
  <c r="C29" i="11" s="1"/>
  <c r="E30" i="7"/>
  <c r="C33" i="2"/>
  <c r="AR64" i="54" l="1"/>
  <c r="BJ65" i="54" s="1"/>
  <c r="BL65" i="54" s="1"/>
  <c r="CP63" i="54"/>
  <c r="DE63" i="54"/>
  <c r="CQ64" i="54" s="1"/>
  <c r="CS64" i="54" s="1"/>
  <c r="H11" i="15"/>
  <c r="I11" i="15" s="1"/>
  <c r="C53" i="2"/>
  <c r="G28" i="57" s="1"/>
  <c r="F28" i="57"/>
  <c r="T30" i="10"/>
  <c r="S30" i="10"/>
  <c r="F62" i="2"/>
  <c r="D37" i="57" s="1"/>
  <c r="B37" i="4"/>
  <c r="G37" i="4" s="1"/>
  <c r="L37" i="57" s="1"/>
  <c r="B89" i="2"/>
  <c r="G33" i="2"/>
  <c r="H21" i="7"/>
  <c r="D33" i="2"/>
  <c r="AT65" i="54" l="1"/>
  <c r="AV65" i="54" s="1"/>
  <c r="AS64" i="54"/>
  <c r="AL65" i="54"/>
  <c r="AL97" i="54" s="1"/>
  <c r="AK65" i="54"/>
  <c r="AK97" i="54" s="1"/>
  <c r="CH64" i="54"/>
  <c r="CI64" i="54"/>
  <c r="CI96" i="54" s="1"/>
  <c r="CD63" i="54"/>
  <c r="AJ65" i="54"/>
  <c r="AN65" i="54" s="1"/>
  <c r="BB65" i="54"/>
  <c r="BB97" i="54" s="1"/>
  <c r="BA65" i="54"/>
  <c r="DF63" i="54"/>
  <c r="CX64" i="54"/>
  <c r="CX96" i="54" s="1"/>
  <c r="CY64" i="54"/>
  <c r="CY96" i="54" s="1"/>
  <c r="DG64" i="54"/>
  <c r="DI64" i="54" s="1"/>
  <c r="DO64" i="54"/>
  <c r="DO96" i="54" s="1"/>
  <c r="DW64" i="54"/>
  <c r="DY64" i="54" s="1"/>
  <c r="AS96" i="54"/>
  <c r="DN64" i="54"/>
  <c r="I30" i="15"/>
  <c r="I29" i="15"/>
  <c r="I28" i="15"/>
  <c r="I27" i="15"/>
  <c r="I26" i="15"/>
  <c r="I25" i="15"/>
  <c r="I24" i="15"/>
  <c r="I23" i="15"/>
  <c r="I22" i="15"/>
  <c r="J12" i="15"/>
  <c r="J13" i="15" s="1"/>
  <c r="J14" i="15" s="1"/>
  <c r="J15" i="15" s="1"/>
  <c r="J16" i="15" s="1"/>
  <c r="J17" i="15" s="1"/>
  <c r="J18" i="15" s="1"/>
  <c r="J19" i="15" s="1"/>
  <c r="J20" i="15" s="1"/>
  <c r="J21" i="15" s="1"/>
  <c r="J22" i="15" s="1"/>
  <c r="J23" i="15" s="1"/>
  <c r="J24" i="15" s="1"/>
  <c r="J25" i="15" s="1"/>
  <c r="J26" i="15" s="1"/>
  <c r="J27" i="15" s="1"/>
  <c r="J28" i="15" s="1"/>
  <c r="J29" i="15" s="1"/>
  <c r="J30" i="15" s="1"/>
  <c r="I21" i="15"/>
  <c r="I20" i="15"/>
  <c r="I19" i="15"/>
  <c r="I18" i="15"/>
  <c r="I17" i="15"/>
  <c r="I16" i="15"/>
  <c r="I15" i="15"/>
  <c r="I14" i="15"/>
  <c r="I13" i="15"/>
  <c r="I12" i="15"/>
  <c r="BA140" i="33"/>
  <c r="D30" i="7"/>
  <c r="H38" i="4"/>
  <c r="B30" i="7"/>
  <c r="I37" i="4"/>
  <c r="J37" i="57" s="1"/>
  <c r="G53" i="2"/>
  <c r="H53" i="2" s="1"/>
  <c r="H28" i="57" s="1"/>
  <c r="M62" i="2"/>
  <c r="O62" i="2" s="1"/>
  <c r="E37" i="57" s="1"/>
  <c r="H33" i="2"/>
  <c r="E29" i="11" s="1"/>
  <c r="E63" i="2"/>
  <c r="C38" i="57" s="1"/>
  <c r="B34" i="2"/>
  <c r="F34" i="2" s="1"/>
  <c r="CH96" i="54" l="1"/>
  <c r="CP95" i="54" s="1"/>
  <c r="CG64" i="54"/>
  <c r="CK64" i="54" s="1"/>
  <c r="AO65" i="54"/>
  <c r="AO97" i="54" s="1"/>
  <c r="DF95" i="54"/>
  <c r="AP65" i="54"/>
  <c r="CW64" i="54"/>
  <c r="DA64" i="54" s="1"/>
  <c r="DB64" i="54" s="1"/>
  <c r="DB96" i="54" s="1"/>
  <c r="BA97" i="54"/>
  <c r="BI96" i="54" s="1"/>
  <c r="AZ65" i="54"/>
  <c r="BD65" i="54" s="1"/>
  <c r="AQ65" i="54"/>
  <c r="AQ97" i="54" s="1"/>
  <c r="AR65" i="54"/>
  <c r="DN96" i="54"/>
  <c r="DV95" i="54" s="1"/>
  <c r="DM64" i="54"/>
  <c r="DQ64" i="54" s="1"/>
  <c r="E31" i="7"/>
  <c r="I38" i="57"/>
  <c r="D38" i="4"/>
  <c r="F30" i="7"/>
  <c r="D30" i="8"/>
  <c r="Q31" i="10"/>
  <c r="R31" i="10" s="1"/>
  <c r="C34" i="2"/>
  <c r="G34" i="2" s="1"/>
  <c r="H34" i="2" s="1"/>
  <c r="E30" i="11" s="1"/>
  <c r="F24" i="11" s="1"/>
  <c r="G25" i="11" s="1"/>
  <c r="B63" i="2"/>
  <c r="C30" i="11" s="1"/>
  <c r="E89" i="2"/>
  <c r="I53" i="2"/>
  <c r="CL64" i="54" l="1"/>
  <c r="CL96" i="54" s="1"/>
  <c r="CM64" i="54"/>
  <c r="CN64" i="54" s="1"/>
  <c r="CN96" i="54" s="1"/>
  <c r="DC64" i="54"/>
  <c r="BE65" i="54"/>
  <c r="BE97" i="54" s="1"/>
  <c r="BF65" i="54"/>
  <c r="AG65" i="54"/>
  <c r="DR64" i="54"/>
  <c r="DR96" i="54" s="1"/>
  <c r="CO64" i="54"/>
  <c r="AS65" i="54"/>
  <c r="DD64" i="54"/>
  <c r="DD96" i="54" s="1"/>
  <c r="F28" i="11"/>
  <c r="G29" i="11" s="1"/>
  <c r="F25" i="11"/>
  <c r="G26" i="11" s="1"/>
  <c r="F27" i="11"/>
  <c r="G28" i="11" s="1"/>
  <c r="F26" i="11"/>
  <c r="G27" i="11" s="1"/>
  <c r="F11" i="11"/>
  <c r="G12" i="11" s="1"/>
  <c r="F10" i="11"/>
  <c r="G11" i="11" s="1"/>
  <c r="H11" i="11" s="1"/>
  <c r="F12" i="11"/>
  <c r="G13" i="11" s="1"/>
  <c r="F13" i="11"/>
  <c r="G14" i="11" s="1"/>
  <c r="F14" i="11"/>
  <c r="G15" i="11" s="1"/>
  <c r="F15" i="11"/>
  <c r="G16" i="11" s="1"/>
  <c r="F16" i="11"/>
  <c r="G17" i="11" s="1"/>
  <c r="F17" i="11"/>
  <c r="G18" i="11" s="1"/>
  <c r="F18" i="11"/>
  <c r="G19" i="11" s="1"/>
  <c r="F19" i="11"/>
  <c r="G20" i="11" s="1"/>
  <c r="F20" i="11"/>
  <c r="G21" i="11" s="1"/>
  <c r="F21" i="11"/>
  <c r="G22" i="11" s="1"/>
  <c r="F22" i="11"/>
  <c r="G23" i="11" s="1"/>
  <c r="F23" i="11"/>
  <c r="G24" i="11" s="1"/>
  <c r="F29" i="11"/>
  <c r="G30" i="11" s="1"/>
  <c r="C31" i="8"/>
  <c r="C32" i="8" s="1"/>
  <c r="M63" i="2"/>
  <c r="O63" i="2" s="1"/>
  <c r="E38" i="57" s="1"/>
  <c r="D31" i="8"/>
  <c r="C31" i="11"/>
  <c r="E90" i="2"/>
  <c r="E92" i="2" s="1"/>
  <c r="F77" i="2" s="1"/>
  <c r="G77" i="2" s="1"/>
  <c r="C105" i="2" s="1"/>
  <c r="Q32" i="10"/>
  <c r="R32" i="10" s="1"/>
  <c r="S31" i="10"/>
  <c r="T31" i="10"/>
  <c r="D34" i="2"/>
  <c r="F63" i="2"/>
  <c r="D38" i="57" s="1"/>
  <c r="B90" i="2"/>
  <c r="B38" i="4"/>
  <c r="G38" i="4" s="1"/>
  <c r="L38" i="57" s="1"/>
  <c r="J53" i="2"/>
  <c r="DE64" i="54" l="1"/>
  <c r="DF64" i="54" s="1"/>
  <c r="BG65" i="54"/>
  <c r="BG97" i="54" s="1"/>
  <c r="CP64" i="54"/>
  <c r="DS64" i="54"/>
  <c r="E31" i="11"/>
  <c r="D31" i="7"/>
  <c r="J25" i="4"/>
  <c r="M25" i="57" s="1"/>
  <c r="F83" i="2"/>
  <c r="G83" i="2" s="1"/>
  <c r="C111" i="2" s="1"/>
  <c r="F81" i="2"/>
  <c r="G81" i="2" s="1"/>
  <c r="C109" i="2" s="1"/>
  <c r="F82" i="2"/>
  <c r="G82" i="2" s="1"/>
  <c r="C110" i="2" s="1"/>
  <c r="F74" i="2"/>
  <c r="G74" i="2" s="1"/>
  <c r="C102" i="2" s="1"/>
  <c r="F76" i="2"/>
  <c r="G76" i="2" s="1"/>
  <c r="C104" i="2" s="1"/>
  <c r="F90" i="2"/>
  <c r="G90" i="2" s="1"/>
  <c r="C118" i="2" s="1"/>
  <c r="F75" i="2"/>
  <c r="G75" i="2" s="1"/>
  <c r="C103" i="2" s="1"/>
  <c r="F84" i="2"/>
  <c r="G84" i="2" s="1"/>
  <c r="C112" i="2" s="1"/>
  <c r="F89" i="2"/>
  <c r="G89" i="2" s="1"/>
  <c r="C117" i="2" s="1"/>
  <c r="F73" i="2"/>
  <c r="G73" i="2" s="1"/>
  <c r="C101" i="2" s="1"/>
  <c r="N21" i="58" s="1"/>
  <c r="F88" i="2"/>
  <c r="G88" i="2" s="1"/>
  <c r="C116" i="2" s="1"/>
  <c r="F72" i="2"/>
  <c r="G72" i="2" s="1"/>
  <c r="C100" i="2" s="1"/>
  <c r="N20" i="58" s="1"/>
  <c r="F87" i="2"/>
  <c r="G87" i="2" s="1"/>
  <c r="C115" i="2" s="1"/>
  <c r="F86" i="2"/>
  <c r="G86" i="2" s="1"/>
  <c r="C114" i="2" s="1"/>
  <c r="E12" i="8"/>
  <c r="D32" i="8"/>
  <c r="F80" i="2"/>
  <c r="G80" i="2" s="1"/>
  <c r="C108" i="2" s="1"/>
  <c r="F79" i="2"/>
  <c r="G79" i="2" s="1"/>
  <c r="C107" i="2" s="1"/>
  <c r="F71" i="2"/>
  <c r="F78" i="2"/>
  <c r="G78" i="2" s="1"/>
  <c r="C106" i="2" s="1"/>
  <c r="F85" i="2"/>
  <c r="G85" i="2" s="1"/>
  <c r="C113" i="2" s="1"/>
  <c r="S32" i="10"/>
  <c r="T32" i="10"/>
  <c r="G71" i="2"/>
  <c r="B31" i="7"/>
  <c r="I38" i="4"/>
  <c r="J38" i="57" s="1"/>
  <c r="E28" i="4"/>
  <c r="K53" i="2"/>
  <c r="BH65" i="54" l="1"/>
  <c r="DT64" i="54"/>
  <c r="DT96" i="54" s="1"/>
  <c r="J23" i="4"/>
  <c r="M23" i="57" s="1"/>
  <c r="C99" i="2"/>
  <c r="N19" i="58" s="1"/>
  <c r="O19" i="58" s="1"/>
  <c r="Q19" i="58" s="1"/>
  <c r="J36" i="4"/>
  <c r="M36" i="57" s="1"/>
  <c r="J30" i="4"/>
  <c r="M30" i="57" s="1"/>
  <c r="J27" i="4"/>
  <c r="M27" i="57" s="1"/>
  <c r="J21" i="4"/>
  <c r="M21" i="57" s="1"/>
  <c r="K21" i="44"/>
  <c r="J29" i="4"/>
  <c r="M29" i="57" s="1"/>
  <c r="D54" i="2"/>
  <c r="F29" i="57" s="1"/>
  <c r="I21" i="7"/>
  <c r="J34" i="4"/>
  <c r="M34" i="57" s="1"/>
  <c r="J38" i="4"/>
  <c r="M38" i="57" s="1"/>
  <c r="J33" i="4"/>
  <c r="M33" i="57" s="1"/>
  <c r="J28" i="4"/>
  <c r="M28" i="57" s="1"/>
  <c r="J35" i="4"/>
  <c r="M35" i="57" s="1"/>
  <c r="J37" i="4"/>
  <c r="M37" i="57" s="1"/>
  <c r="J24" i="4"/>
  <c r="M24" i="57" s="1"/>
  <c r="J31" i="4"/>
  <c r="M31" i="57" s="1"/>
  <c r="J26" i="4"/>
  <c r="M26" i="57" s="1"/>
  <c r="J20" i="4"/>
  <c r="M20" i="57" s="1"/>
  <c r="K20" i="44"/>
  <c r="J32" i="4"/>
  <c r="M32" i="57" s="1"/>
  <c r="J22" i="4"/>
  <c r="M22" i="57" s="1"/>
  <c r="F12" i="8"/>
  <c r="G12" i="8" s="1"/>
  <c r="E13" i="8" s="1"/>
  <c r="F13" i="8" s="1"/>
  <c r="G13" i="8" s="1"/>
  <c r="F92" i="2"/>
  <c r="L53" i="2"/>
  <c r="F31" i="7"/>
  <c r="E24" i="5"/>
  <c r="F28" i="4"/>
  <c r="DU64" i="54" l="1"/>
  <c r="AK66" i="54"/>
  <c r="AT66" i="54"/>
  <c r="AV66" i="54" s="1"/>
  <c r="BB66" i="54"/>
  <c r="BB98" i="54" s="1"/>
  <c r="AL66" i="54"/>
  <c r="AL98" i="54" s="1"/>
  <c r="BJ66" i="54"/>
  <c r="BL66" i="54" s="1"/>
  <c r="BA66" i="54"/>
  <c r="BA98" i="54" s="1"/>
  <c r="BI65" i="54"/>
  <c r="J19" i="4"/>
  <c r="M19" i="57" s="1"/>
  <c r="N19" i="57" s="1"/>
  <c r="CX65" i="54"/>
  <c r="DN65" i="54"/>
  <c r="DN97" i="54" s="1"/>
  <c r="DV64" i="54"/>
  <c r="DO65" i="54"/>
  <c r="DO97" i="54" s="1"/>
  <c r="DW65" i="54"/>
  <c r="DY65" i="54" s="1"/>
  <c r="CY65" i="54"/>
  <c r="CY97" i="54" s="1"/>
  <c r="DG65" i="54"/>
  <c r="DI65" i="54" s="1"/>
  <c r="CQ65" i="54"/>
  <c r="CS65" i="54" s="1"/>
  <c r="CI65" i="54"/>
  <c r="CI97" i="54" s="1"/>
  <c r="CD64" i="54"/>
  <c r="CH65" i="54"/>
  <c r="D99" i="2"/>
  <c r="K19" i="44"/>
  <c r="L19" i="44" s="1"/>
  <c r="N19" i="44" s="1"/>
  <c r="E14" i="8"/>
  <c r="I11" i="11"/>
  <c r="H12" i="11" s="1"/>
  <c r="I12" i="11" s="1"/>
  <c r="H13" i="11" s="1"/>
  <c r="I13" i="11" s="1"/>
  <c r="H14" i="11" s="1"/>
  <c r="I14" i="11" s="1"/>
  <c r="H15" i="11" s="1"/>
  <c r="I15" i="11" s="1"/>
  <c r="H16" i="11" s="1"/>
  <c r="I16" i="11" s="1"/>
  <c r="H17" i="11" s="1"/>
  <c r="I17" i="11" s="1"/>
  <c r="H18" i="11" s="1"/>
  <c r="I18" i="11" s="1"/>
  <c r="C54" i="2"/>
  <c r="G29" i="57" s="1"/>
  <c r="H22" i="7"/>
  <c r="BI97" i="54" l="1"/>
  <c r="K19" i="4"/>
  <c r="C13" i="6" s="1"/>
  <c r="AZ66" i="54"/>
  <c r="BD66" i="54" s="1"/>
  <c r="DM65" i="54"/>
  <c r="DQ65" i="54" s="1"/>
  <c r="DR65" i="54" s="1"/>
  <c r="AK98" i="54"/>
  <c r="AS97" i="54" s="1"/>
  <c r="AJ66" i="54"/>
  <c r="AN66" i="54" s="1"/>
  <c r="CH97" i="54"/>
  <c r="CP96" i="54" s="1"/>
  <c r="CG65" i="54"/>
  <c r="CK65" i="54" s="1"/>
  <c r="DV96" i="54"/>
  <c r="CX97" i="54"/>
  <c r="DF96" i="54" s="1"/>
  <c r="CW65" i="54"/>
  <c r="DA65" i="54" s="1"/>
  <c r="H19" i="11"/>
  <c r="BA141" i="33"/>
  <c r="D15" i="43"/>
  <c r="C15" i="5"/>
  <c r="D100" i="2"/>
  <c r="G54" i="2"/>
  <c r="H54" i="2" s="1"/>
  <c r="H29" i="57" s="1"/>
  <c r="F14" i="8"/>
  <c r="G14" i="8" s="1"/>
  <c r="J12" i="7" l="1"/>
  <c r="K12" i="7" s="1"/>
  <c r="G13" i="7" s="1"/>
  <c r="DR97" i="54"/>
  <c r="DS65" i="54"/>
  <c r="AO66" i="54"/>
  <c r="AO98" i="54" s="1"/>
  <c r="AG66" i="54"/>
  <c r="AP66" i="54"/>
  <c r="BE66" i="54"/>
  <c r="BE98" i="54" s="1"/>
  <c r="CL65" i="54"/>
  <c r="CL97" i="54" s="1"/>
  <c r="DT65" i="54"/>
  <c r="DT97" i="54" s="1"/>
  <c r="DB65" i="54"/>
  <c r="DB97" i="54" s="1"/>
  <c r="D13" i="6"/>
  <c r="E13" i="6" s="1"/>
  <c r="B14" i="6" s="1"/>
  <c r="I19" i="11"/>
  <c r="D16" i="43"/>
  <c r="D101" i="2"/>
  <c r="C16" i="5"/>
  <c r="E15" i="8"/>
  <c r="I54" i="2"/>
  <c r="J54" i="2" s="1"/>
  <c r="B15" i="5" l="1"/>
  <c r="D15" i="5" s="1"/>
  <c r="F15" i="5" s="1"/>
  <c r="AQ66" i="54"/>
  <c r="AQ98" i="54" s="1"/>
  <c r="CM65" i="54"/>
  <c r="BF66" i="54"/>
  <c r="DC65" i="54"/>
  <c r="DD65" i="54" s="1"/>
  <c r="DD97" i="54" s="1"/>
  <c r="DU65" i="54"/>
  <c r="CN65" i="54"/>
  <c r="CN97" i="54" s="1"/>
  <c r="H20" i="11"/>
  <c r="K12" i="45"/>
  <c r="L12" i="45" s="1"/>
  <c r="D17" i="43"/>
  <c r="D102" i="2"/>
  <c r="C17" i="5"/>
  <c r="C20" i="4"/>
  <c r="B20" i="57" s="1"/>
  <c r="K20" i="57" s="1"/>
  <c r="N20" i="57" s="1"/>
  <c r="F15" i="8"/>
  <c r="G15" i="8" s="1"/>
  <c r="E29" i="4"/>
  <c r="K54" i="2"/>
  <c r="AR66" i="54" l="1"/>
  <c r="AS66" i="54" s="1"/>
  <c r="CO65" i="54"/>
  <c r="DE65" i="54"/>
  <c r="DF65" i="54" s="1"/>
  <c r="BG66" i="54"/>
  <c r="BG98" i="54" s="1"/>
  <c r="CP65" i="54"/>
  <c r="CQ66" i="54"/>
  <c r="CS66" i="54" s="1"/>
  <c r="CD65" i="54"/>
  <c r="DN66" i="54"/>
  <c r="DN98" i="54" s="1"/>
  <c r="DO66" i="54"/>
  <c r="DO98" i="54" s="1"/>
  <c r="DV65" i="54"/>
  <c r="DW66" i="54"/>
  <c r="DY66" i="54" s="1"/>
  <c r="CX66" i="54"/>
  <c r="CX98" i="54" s="1"/>
  <c r="I20" i="11"/>
  <c r="H21" i="11" s="1"/>
  <c r="I21" i="11" s="1"/>
  <c r="H22" i="11" s="1"/>
  <c r="I22" i="11" s="1"/>
  <c r="H23" i="11" s="1"/>
  <c r="I23" i="11" s="1"/>
  <c r="H24" i="11" s="1"/>
  <c r="I24" i="11" s="1"/>
  <c r="H25" i="11" s="1"/>
  <c r="I25" i="11" s="1"/>
  <c r="H26" i="11" s="1"/>
  <c r="I26" i="11" s="1"/>
  <c r="H27" i="11" s="1"/>
  <c r="I27" i="11" s="1"/>
  <c r="H28" i="11" s="1"/>
  <c r="I28" i="11" s="1"/>
  <c r="H29" i="11" s="1"/>
  <c r="I29" i="11" s="1"/>
  <c r="H30" i="11" s="1"/>
  <c r="I30" i="11" s="1"/>
  <c r="G13" i="45"/>
  <c r="B20" i="58" s="1"/>
  <c r="L20" i="58" s="1"/>
  <c r="O20" i="58" s="1"/>
  <c r="B15" i="43"/>
  <c r="E15" i="43" s="1"/>
  <c r="H15" i="43" s="1"/>
  <c r="K20" i="4"/>
  <c r="C14" i="6" s="1"/>
  <c r="I22" i="7"/>
  <c r="D103" i="2"/>
  <c r="C18" i="5"/>
  <c r="D55" i="2"/>
  <c r="F30" i="57" s="1"/>
  <c r="E16" i="8"/>
  <c r="L54" i="2"/>
  <c r="E25" i="5"/>
  <c r="F29" i="4"/>
  <c r="DG66" i="54" l="1"/>
  <c r="DI66" i="54" s="1"/>
  <c r="CH66" i="54"/>
  <c r="BH66" i="54"/>
  <c r="CI66" i="54"/>
  <c r="CI98" i="54" s="1"/>
  <c r="CH98" i="54"/>
  <c r="CG66" i="54"/>
  <c r="CK66" i="54" s="1"/>
  <c r="CL66" i="54" s="1"/>
  <c r="CL98" i="54" s="1"/>
  <c r="BI66" i="54"/>
  <c r="BJ67" i="54"/>
  <c r="BL67" i="54" s="1"/>
  <c r="BB67" i="54"/>
  <c r="BB99" i="54" s="1"/>
  <c r="DV97" i="54"/>
  <c r="CY66" i="54"/>
  <c r="CY98" i="54" s="1"/>
  <c r="DF97" i="54" s="1"/>
  <c r="DM66" i="54"/>
  <c r="DQ66" i="54" s="1"/>
  <c r="H31" i="11"/>
  <c r="BA142" i="33"/>
  <c r="J13" i="7"/>
  <c r="K13" i="7" s="1"/>
  <c r="D104" i="2"/>
  <c r="C19" i="5"/>
  <c r="F16" i="8"/>
  <c r="G16" i="8" s="1"/>
  <c r="C55" i="2"/>
  <c r="G30" i="57" s="1"/>
  <c r="H23" i="7"/>
  <c r="CP97" i="54" l="1"/>
  <c r="CW66" i="54"/>
  <c r="DA66" i="54" s="1"/>
  <c r="CM66" i="54"/>
  <c r="BA67" i="54"/>
  <c r="AL67" i="54"/>
  <c r="AL99" i="54" s="1"/>
  <c r="AT67" i="54"/>
  <c r="AV67" i="54" s="1"/>
  <c r="AK67" i="54"/>
  <c r="DB66" i="54"/>
  <c r="DB98" i="54" s="1"/>
  <c r="DR66" i="54"/>
  <c r="DR98" i="54" s="1"/>
  <c r="CN66" i="54"/>
  <c r="CN98" i="54" s="1"/>
  <c r="D14" i="6"/>
  <c r="E14" i="6" s="1"/>
  <c r="B15" i="6" s="1"/>
  <c r="D105" i="2"/>
  <c r="C20" i="5"/>
  <c r="E17" i="8"/>
  <c r="G14" i="7"/>
  <c r="B16" i="5"/>
  <c r="D16" i="5" s="1"/>
  <c r="F16" i="5" s="1"/>
  <c r="G55" i="2"/>
  <c r="H55" i="2" s="1"/>
  <c r="H30" i="57" s="1"/>
  <c r="AK99" i="54" l="1"/>
  <c r="AS98" i="54" s="1"/>
  <c r="AJ67" i="54"/>
  <c r="AN67" i="54" s="1"/>
  <c r="BA99" i="54"/>
  <c r="BI98" i="54" s="1"/>
  <c r="AZ67" i="54"/>
  <c r="BD67" i="54" s="1"/>
  <c r="BE67" i="54" s="1"/>
  <c r="BE99" i="54" s="1"/>
  <c r="DC66" i="54"/>
  <c r="DS66" i="54"/>
  <c r="CO66" i="54"/>
  <c r="C21" i="4"/>
  <c r="C21" i="5"/>
  <c r="D106" i="2"/>
  <c r="F17" i="8"/>
  <c r="G17" i="8" s="1"/>
  <c r="I55" i="2"/>
  <c r="J55" i="2" s="1"/>
  <c r="BF67" i="54" l="1"/>
  <c r="BG67" i="54" s="1"/>
  <c r="BG99" i="54" s="1"/>
  <c r="AG67" i="54"/>
  <c r="AO67" i="54"/>
  <c r="AO99" i="54" s="1"/>
  <c r="DD66" i="54"/>
  <c r="DD98" i="54" s="1"/>
  <c r="CP66" i="54"/>
  <c r="DT66" i="54"/>
  <c r="DT98" i="54" s="1"/>
  <c r="K21" i="4"/>
  <c r="C15" i="6" s="1"/>
  <c r="B21" i="57"/>
  <c r="K21" i="57" s="1"/>
  <c r="N21" i="57" s="1"/>
  <c r="D107" i="2"/>
  <c r="C22" i="5"/>
  <c r="E18" i="8"/>
  <c r="F18" i="8" s="1"/>
  <c r="G18" i="8" s="1"/>
  <c r="E30" i="4"/>
  <c r="K55" i="2"/>
  <c r="BH67" i="54" l="1"/>
  <c r="AP67" i="54"/>
  <c r="DU66" i="54"/>
  <c r="AQ67" i="54"/>
  <c r="AQ99" i="54" s="1"/>
  <c r="BI67" i="54"/>
  <c r="DE66" i="54"/>
  <c r="DF66" i="54" s="1"/>
  <c r="J14" i="7"/>
  <c r="D15" i="6" s="1"/>
  <c r="E15" i="6" s="1"/>
  <c r="DV66" i="54"/>
  <c r="D108" i="2"/>
  <c r="C23" i="5"/>
  <c r="I23" i="7"/>
  <c r="D56" i="2"/>
  <c r="F31" i="57" s="1"/>
  <c r="E19" i="8"/>
  <c r="F19" i="8" s="1"/>
  <c r="G19" i="8" s="1"/>
  <c r="L55" i="2"/>
  <c r="E26" i="5"/>
  <c r="F30" i="4"/>
  <c r="K14" i="7" l="1"/>
  <c r="AR67" i="54"/>
  <c r="CD66" i="54"/>
  <c r="AK68" i="54"/>
  <c r="CY67" i="54"/>
  <c r="CY99" i="54" s="1"/>
  <c r="DG67" i="54"/>
  <c r="DI67" i="54" s="1"/>
  <c r="CH67" i="54"/>
  <c r="CH99" i="54" s="1"/>
  <c r="DO67" i="54"/>
  <c r="DO99" i="54" s="1"/>
  <c r="DW67" i="54"/>
  <c r="DY67" i="54" s="1"/>
  <c r="CI67" i="54"/>
  <c r="CI99" i="54" s="1"/>
  <c r="CP98" i="54" s="1"/>
  <c r="CQ67" i="54"/>
  <c r="CS67" i="54" s="1"/>
  <c r="CX67" i="54"/>
  <c r="CX99" i="54" s="1"/>
  <c r="DF98" i="54" s="1"/>
  <c r="DN67" i="54"/>
  <c r="DN99" i="54" s="1"/>
  <c r="C24" i="5"/>
  <c r="D109" i="2"/>
  <c r="E20" i="8"/>
  <c r="F20" i="8" s="1"/>
  <c r="G20" i="8" s="1"/>
  <c r="B16" i="6"/>
  <c r="G15" i="7"/>
  <c r="B17" i="5"/>
  <c r="D17" i="5" s="1"/>
  <c r="F17" i="5" s="1"/>
  <c r="C56" i="2"/>
  <c r="G31" i="57" s="1"/>
  <c r="H24" i="7"/>
  <c r="AS67" i="54" l="1"/>
  <c r="AL68" i="54"/>
  <c r="AL100" i="54" s="1"/>
  <c r="BB68" i="54"/>
  <c r="BB100" i="54" s="1"/>
  <c r="BJ68" i="54"/>
  <c r="BL68" i="54" s="1"/>
  <c r="BA68" i="54"/>
  <c r="AT68" i="54"/>
  <c r="AV68" i="54" s="1"/>
  <c r="DM67" i="54"/>
  <c r="DQ67" i="54" s="1"/>
  <c r="DR67" i="54" s="1"/>
  <c r="DR99" i="54" s="1"/>
  <c r="CG67" i="54"/>
  <c r="CK67" i="54" s="1"/>
  <c r="CL67" i="54" s="1"/>
  <c r="CL99" i="54" s="1"/>
  <c r="CW67" i="54"/>
  <c r="DA67" i="54" s="1"/>
  <c r="DV98" i="54"/>
  <c r="AK100" i="54"/>
  <c r="AS99" i="54" s="1"/>
  <c r="AJ68" i="54"/>
  <c r="AN68" i="54" s="1"/>
  <c r="G56" i="2"/>
  <c r="H56" i="2" s="1"/>
  <c r="H31" i="57" s="1"/>
  <c r="C22" i="4"/>
  <c r="B22" i="57" s="1"/>
  <c r="K22" i="57" s="1"/>
  <c r="N22" i="57" s="1"/>
  <c r="D110" i="2"/>
  <c r="C25" i="5"/>
  <c r="E21" i="8"/>
  <c r="F21" i="8" s="1"/>
  <c r="G21" i="8" s="1"/>
  <c r="DB67" i="54" l="1"/>
  <c r="DB99" i="54" s="1"/>
  <c r="BA100" i="54"/>
  <c r="BI99" i="54" s="1"/>
  <c r="AZ68" i="54"/>
  <c r="BD68" i="54" s="1"/>
  <c r="BE68" i="54" s="1"/>
  <c r="BE100" i="54" s="1"/>
  <c r="DS67" i="54"/>
  <c r="DT67" i="54" s="1"/>
  <c r="DT99" i="54" s="1"/>
  <c r="AO68" i="54"/>
  <c r="AO100" i="54" s="1"/>
  <c r="CM67" i="54"/>
  <c r="CN67" i="54" s="1"/>
  <c r="CN99" i="54" s="1"/>
  <c r="BF68" i="54"/>
  <c r="BA143" i="33"/>
  <c r="K22" i="4"/>
  <c r="C16" i="6" s="1"/>
  <c r="D111" i="2"/>
  <c r="C26" i="5"/>
  <c r="E22" i="8"/>
  <c r="F22" i="8" s="1"/>
  <c r="G22" i="8" s="1"/>
  <c r="I56" i="2"/>
  <c r="J56" i="2" s="1"/>
  <c r="AP68" i="54" l="1"/>
  <c r="AQ68" i="54" s="1"/>
  <c r="AQ100" i="54" s="1"/>
  <c r="AG68" i="54"/>
  <c r="DC67" i="54"/>
  <c r="AR68" i="54"/>
  <c r="AS68" i="54" s="1"/>
  <c r="DU67" i="54"/>
  <c r="AS100" i="54"/>
  <c r="AU77" i="54" s="1"/>
  <c r="AU100" i="54"/>
  <c r="AU99" i="54" s="1"/>
  <c r="AU98" i="54" s="1"/>
  <c r="AU97" i="54" s="1"/>
  <c r="AU96" i="54" s="1"/>
  <c r="AU95" i="54" s="1"/>
  <c r="AU94" i="54" s="1"/>
  <c r="AU93" i="54" s="1"/>
  <c r="AU92" i="54" s="1"/>
  <c r="AU91" i="54" s="1"/>
  <c r="AU90" i="54" s="1"/>
  <c r="AU89" i="54" s="1"/>
  <c r="AU88" i="54" s="1"/>
  <c r="AU87" i="54" s="1"/>
  <c r="AU86" i="54" s="1"/>
  <c r="AU85" i="54" s="1"/>
  <c r="AU84" i="54" s="1"/>
  <c r="AU83" i="54" s="1"/>
  <c r="BG68" i="54"/>
  <c r="BG100" i="54" s="1"/>
  <c r="CO67" i="54"/>
  <c r="DV67" i="54"/>
  <c r="J15" i="7"/>
  <c r="K15" i="7" s="1"/>
  <c r="D112" i="2"/>
  <c r="C27" i="5"/>
  <c r="E23" i="8"/>
  <c r="F23" i="8" s="1"/>
  <c r="G23" i="8" s="1"/>
  <c r="E31" i="4"/>
  <c r="K56" i="2"/>
  <c r="BH68" i="54" l="1"/>
  <c r="BI68" i="54" s="1"/>
  <c r="DD67" i="54"/>
  <c r="DD99" i="54" s="1"/>
  <c r="CP67" i="54"/>
  <c r="BK100" i="54"/>
  <c r="BK99" i="54" s="1"/>
  <c r="BK98" i="54" s="1"/>
  <c r="BK97" i="54" s="1"/>
  <c r="BK96" i="54" s="1"/>
  <c r="BK95" i="54" s="1"/>
  <c r="BK94" i="54" s="1"/>
  <c r="BK93" i="54" s="1"/>
  <c r="BK92" i="54" s="1"/>
  <c r="BK91" i="54" s="1"/>
  <c r="BK90" i="54" s="1"/>
  <c r="BK89" i="54" s="1"/>
  <c r="BK88" i="54" s="1"/>
  <c r="BK87" i="54" s="1"/>
  <c r="BK86" i="54" s="1"/>
  <c r="BK85" i="54" s="1"/>
  <c r="BK84" i="54" s="1"/>
  <c r="BK83" i="54" s="1"/>
  <c r="BK82" i="54" s="1"/>
  <c r="BI100" i="54"/>
  <c r="BK77" i="54" s="1"/>
  <c r="AU82" i="54"/>
  <c r="AU81" i="54" s="1"/>
  <c r="D16" i="6"/>
  <c r="E16" i="6" s="1"/>
  <c r="B17" i="6" s="1"/>
  <c r="D57" i="2"/>
  <c r="F32" i="57" s="1"/>
  <c r="D113" i="2"/>
  <c r="C28" i="5"/>
  <c r="I24" i="7"/>
  <c r="E24" i="8"/>
  <c r="F24" i="8" s="1"/>
  <c r="G24" i="8" s="1"/>
  <c r="L56" i="2"/>
  <c r="G16" i="7"/>
  <c r="B18" i="5"/>
  <c r="D18" i="5" s="1"/>
  <c r="F18" i="5" s="1"/>
  <c r="E27" i="5"/>
  <c r="F31" i="4"/>
  <c r="DE67" i="54" l="1"/>
  <c r="DF67" i="54"/>
  <c r="DO68" i="54"/>
  <c r="DO100" i="54" s="1"/>
  <c r="DW68" i="54"/>
  <c r="DY68" i="54" s="1"/>
  <c r="CH68" i="54"/>
  <c r="CQ68" i="54"/>
  <c r="CS68" i="54" s="1"/>
  <c r="CD67" i="54"/>
  <c r="CY68" i="54"/>
  <c r="CY100" i="54" s="1"/>
  <c r="DN68" i="54"/>
  <c r="AV94" i="54"/>
  <c r="AV82" i="54"/>
  <c r="AV100" i="54"/>
  <c r="AV85" i="54"/>
  <c r="AV101" i="54"/>
  <c r="AV95" i="54"/>
  <c r="AV97" i="54"/>
  <c r="AV92" i="54"/>
  <c r="AV93" i="54"/>
  <c r="AV81" i="54"/>
  <c r="AV87" i="54"/>
  <c r="AV84" i="54"/>
  <c r="AV96" i="54"/>
  <c r="AV99" i="54"/>
  <c r="AV89" i="54"/>
  <c r="AV91" i="54"/>
  <c r="AV86" i="54"/>
  <c r="AV90" i="54"/>
  <c r="AV98" i="54"/>
  <c r="AV83" i="54"/>
  <c r="AV88" i="54"/>
  <c r="BL101" i="54"/>
  <c r="BL94" i="54"/>
  <c r="BL95" i="54"/>
  <c r="BL92" i="54"/>
  <c r="BL89" i="54"/>
  <c r="BK81" i="54"/>
  <c r="BL91" i="54"/>
  <c r="BL88" i="54"/>
  <c r="BL98" i="54"/>
  <c r="BL93" i="54"/>
  <c r="BL99" i="54"/>
  <c r="BL97" i="54"/>
  <c r="BL84" i="54"/>
  <c r="BL85" i="54"/>
  <c r="BL87" i="54"/>
  <c r="BL86" i="54"/>
  <c r="BL90" i="54"/>
  <c r="BL82" i="54"/>
  <c r="BL96" i="54"/>
  <c r="BL83" i="54"/>
  <c r="BL100" i="54"/>
  <c r="B12" i="55"/>
  <c r="BA144" i="33"/>
  <c r="D114" i="2"/>
  <c r="C29" i="5"/>
  <c r="C23" i="4"/>
  <c r="B23" i="57" s="1"/>
  <c r="K23" i="57" s="1"/>
  <c r="N23" i="57" s="1"/>
  <c r="E25" i="8"/>
  <c r="F25" i="8" s="1"/>
  <c r="G25" i="8" s="1"/>
  <c r="C57" i="2"/>
  <c r="G32" i="57" s="1"/>
  <c r="H25" i="7"/>
  <c r="CI68" i="54" l="1"/>
  <c r="CI100" i="54" s="1"/>
  <c r="CX68" i="54"/>
  <c r="DG68" i="54"/>
  <c r="DI68" i="54" s="1"/>
  <c r="DN100" i="54"/>
  <c r="DV99" i="54" s="1"/>
  <c r="DM68" i="54"/>
  <c r="DQ68" i="54" s="1"/>
  <c r="DR68" i="54" s="1"/>
  <c r="DR100" i="54" s="1"/>
  <c r="CH100" i="54"/>
  <c r="CP99" i="54" s="1"/>
  <c r="CG68" i="54"/>
  <c r="CK68" i="54" s="1"/>
  <c r="AV77" i="54"/>
  <c r="AW81" i="54" s="1"/>
  <c r="AW82" i="54" s="1"/>
  <c r="BL77" i="54"/>
  <c r="BM82" i="54" s="1"/>
  <c r="BM83" i="54" s="1"/>
  <c r="BM84" i="54" s="1"/>
  <c r="BM85" i="54" s="1"/>
  <c r="BM86" i="54" s="1"/>
  <c r="BM87" i="54" s="1"/>
  <c r="BM88" i="54" s="1"/>
  <c r="BM89" i="54" s="1"/>
  <c r="BM90" i="54" s="1"/>
  <c r="BM91" i="54" s="1"/>
  <c r="BM92" i="54" s="1"/>
  <c r="BM93" i="54" s="1"/>
  <c r="BM94" i="54" s="1"/>
  <c r="BM95" i="54" s="1"/>
  <c r="BM96" i="54" s="1"/>
  <c r="BM97" i="54" s="1"/>
  <c r="BM98" i="54" s="1"/>
  <c r="BM99" i="54" s="1"/>
  <c r="BM100" i="54" s="1"/>
  <c r="K23" i="4"/>
  <c r="J16" i="7" s="1"/>
  <c r="G57" i="2"/>
  <c r="H57" i="2" s="1"/>
  <c r="H32" i="57" s="1"/>
  <c r="D115" i="2"/>
  <c r="C30" i="5"/>
  <c r="E26" i="8"/>
  <c r="F26" i="8" s="1"/>
  <c r="G26" i="8" s="1"/>
  <c r="DS68" i="54" l="1"/>
  <c r="DT68" i="54" s="1"/>
  <c r="DT100" i="54" s="1"/>
  <c r="CX100" i="54"/>
  <c r="DF99" i="54" s="1"/>
  <c r="CW68" i="54"/>
  <c r="DA68" i="54" s="1"/>
  <c r="DX100" i="54"/>
  <c r="DX99" i="54" s="1"/>
  <c r="DX98" i="54" s="1"/>
  <c r="DX97" i="54" s="1"/>
  <c r="DX96" i="54" s="1"/>
  <c r="DX95" i="54" s="1"/>
  <c r="DX94" i="54" s="1"/>
  <c r="DX93" i="54" s="1"/>
  <c r="DX92" i="54" s="1"/>
  <c r="DX91" i="54" s="1"/>
  <c r="DX90" i="54" s="1"/>
  <c r="DX89" i="54" s="1"/>
  <c r="DX88" i="54" s="1"/>
  <c r="DX87" i="54" s="1"/>
  <c r="DX86" i="54" s="1"/>
  <c r="DX85" i="54" s="1"/>
  <c r="DX84" i="54" s="1"/>
  <c r="DX83" i="54" s="1"/>
  <c r="DY86" i="54" s="1"/>
  <c r="DV100" i="54"/>
  <c r="DX77" i="54" s="1"/>
  <c r="CL68" i="54"/>
  <c r="CL100" i="54" s="1"/>
  <c r="CM68" i="54"/>
  <c r="CN68" i="54" s="1"/>
  <c r="CN100" i="54" s="1"/>
  <c r="CP100" i="54" s="1"/>
  <c r="CR77" i="54" s="1"/>
  <c r="DU68" i="54"/>
  <c r="DV68" i="54" s="1"/>
  <c r="C12" i="55"/>
  <c r="D12" i="55" s="1"/>
  <c r="F12" i="55" s="1"/>
  <c r="AW83" i="54"/>
  <c r="AW84" i="54" s="1"/>
  <c r="AW85" i="54" s="1"/>
  <c r="AW86" i="54" s="1"/>
  <c r="AW87" i="54" s="1"/>
  <c r="AW88" i="54" s="1"/>
  <c r="AW89" i="54" s="1"/>
  <c r="AW90" i="54" s="1"/>
  <c r="AW91" i="54" s="1"/>
  <c r="AW92" i="54" s="1"/>
  <c r="AW93" i="54" s="1"/>
  <c r="AW94" i="54" s="1"/>
  <c r="AW95" i="54" s="1"/>
  <c r="AW96" i="54" s="1"/>
  <c r="AW97" i="54" s="1"/>
  <c r="AW98" i="54" s="1"/>
  <c r="AW99" i="54" s="1"/>
  <c r="AW100" i="54" s="1"/>
  <c r="DY85" i="54"/>
  <c r="C17" i="6"/>
  <c r="D116" i="2"/>
  <c r="C31" i="5"/>
  <c r="E27" i="8"/>
  <c r="F27" i="8" s="1"/>
  <c r="G27" i="8" s="1"/>
  <c r="D17" i="6"/>
  <c r="K16" i="7"/>
  <c r="I57" i="2"/>
  <c r="J57" i="2" s="1"/>
  <c r="CR100" i="54" l="1"/>
  <c r="CR99" i="54" s="1"/>
  <c r="CR98" i="54" s="1"/>
  <c r="CR97" i="54" s="1"/>
  <c r="CR96" i="54" s="1"/>
  <c r="CR95" i="54" s="1"/>
  <c r="CR94" i="54" s="1"/>
  <c r="CR93" i="54" s="1"/>
  <c r="CR92" i="54" s="1"/>
  <c r="CR91" i="54" s="1"/>
  <c r="CR90" i="54" s="1"/>
  <c r="CR89" i="54" s="1"/>
  <c r="CR88" i="54" s="1"/>
  <c r="CR87" i="54" s="1"/>
  <c r="CR86" i="54" s="1"/>
  <c r="CR85" i="54" s="1"/>
  <c r="CR84" i="54" s="1"/>
  <c r="CO68" i="54"/>
  <c r="DY98" i="54"/>
  <c r="DY95" i="54"/>
  <c r="DY89" i="54"/>
  <c r="DY87" i="54"/>
  <c r="DY84" i="54"/>
  <c r="DY100" i="54"/>
  <c r="DY88" i="54"/>
  <c r="DY93" i="54"/>
  <c r="DY99" i="54"/>
  <c r="DY92" i="54"/>
  <c r="DB68" i="54"/>
  <c r="DB100" i="54" s="1"/>
  <c r="DY101" i="54"/>
  <c r="DY83" i="54"/>
  <c r="DY90" i="54"/>
  <c r="DY96" i="54"/>
  <c r="DX82" i="54"/>
  <c r="DX81" i="54" s="1"/>
  <c r="DY91" i="54"/>
  <c r="DY97" i="54"/>
  <c r="DY94" i="54"/>
  <c r="CR83" i="54"/>
  <c r="CR82" i="54" s="1"/>
  <c r="CR81" i="54" s="1"/>
  <c r="CP68" i="54"/>
  <c r="E17" i="6"/>
  <c r="B18" i="6" s="1"/>
  <c r="D117" i="2"/>
  <c r="C32" i="5"/>
  <c r="E28" i="8"/>
  <c r="F28" i="8" s="1"/>
  <c r="G28" i="8" s="1"/>
  <c r="G17" i="7"/>
  <c r="B19" i="5"/>
  <c r="D19" i="5" s="1"/>
  <c r="F19" i="5" s="1"/>
  <c r="E32" i="4"/>
  <c r="K57" i="2"/>
  <c r="DY77" i="54" l="1"/>
  <c r="DZ83" i="54" s="1"/>
  <c r="DZ84" i="54" s="1"/>
  <c r="DZ85" i="54" s="1"/>
  <c r="DZ86" i="54" s="1"/>
  <c r="DZ87" i="54" s="1"/>
  <c r="DZ88" i="54" s="1"/>
  <c r="DZ89" i="54" s="1"/>
  <c r="DZ90" i="54" s="1"/>
  <c r="DZ91" i="54" s="1"/>
  <c r="DZ92" i="54" s="1"/>
  <c r="DZ93" i="54" s="1"/>
  <c r="DZ94" i="54" s="1"/>
  <c r="DZ95" i="54" s="1"/>
  <c r="DZ96" i="54" s="1"/>
  <c r="DZ97" i="54" s="1"/>
  <c r="DZ98" i="54" s="1"/>
  <c r="DZ99" i="54" s="1"/>
  <c r="DZ100" i="54" s="1"/>
  <c r="DZ101" i="54" s="1"/>
  <c r="DC68" i="54"/>
  <c r="DD68" i="54" s="1"/>
  <c r="DD100" i="54" s="1"/>
  <c r="CS98" i="54"/>
  <c r="CS88" i="54"/>
  <c r="CS86" i="54"/>
  <c r="CS92" i="54"/>
  <c r="CS97" i="54"/>
  <c r="CS99" i="54"/>
  <c r="CS85" i="54"/>
  <c r="CS81" i="54"/>
  <c r="CS84" i="54"/>
  <c r="CS83" i="54"/>
  <c r="CS82" i="54"/>
  <c r="CS101" i="54"/>
  <c r="CS100" i="54"/>
  <c r="CS89" i="54"/>
  <c r="CS90" i="54"/>
  <c r="CS91" i="54"/>
  <c r="CS95" i="54"/>
  <c r="CS96" i="54"/>
  <c r="CS87" i="54"/>
  <c r="CS94" i="54"/>
  <c r="CS93" i="54"/>
  <c r="I25" i="7"/>
  <c r="C24" i="4"/>
  <c r="B24" i="57" s="1"/>
  <c r="K24" i="57" s="1"/>
  <c r="N24" i="57" s="1"/>
  <c r="D58" i="2"/>
  <c r="F33" i="57" s="1"/>
  <c r="C33" i="5"/>
  <c r="D118" i="2"/>
  <c r="E29" i="8"/>
  <c r="F29" i="8" s="1"/>
  <c r="G29" i="8" s="1"/>
  <c r="L57" i="2"/>
  <c r="E28" i="5"/>
  <c r="F32" i="4"/>
  <c r="DF100" i="54" l="1"/>
  <c r="DH77" i="54" s="1"/>
  <c r="DH100" i="54"/>
  <c r="DH99" i="54" s="1"/>
  <c r="DH98" i="54" s="1"/>
  <c r="DH97" i="54" s="1"/>
  <c r="DH96" i="54" s="1"/>
  <c r="DH95" i="54" s="1"/>
  <c r="DH94" i="54" s="1"/>
  <c r="DH93" i="54" s="1"/>
  <c r="DH92" i="54" s="1"/>
  <c r="DH91" i="54" s="1"/>
  <c r="DH90" i="54" s="1"/>
  <c r="DH89" i="54" s="1"/>
  <c r="DH88" i="54" s="1"/>
  <c r="DH87" i="54" s="1"/>
  <c r="DH86" i="54" s="1"/>
  <c r="DH85" i="54" s="1"/>
  <c r="DH84" i="54" s="1"/>
  <c r="DH83" i="54" s="1"/>
  <c r="DH82" i="54" s="1"/>
  <c r="DE68" i="54"/>
  <c r="CS77" i="54"/>
  <c r="CT81" i="54" s="1"/>
  <c r="CT82" i="54" s="1"/>
  <c r="CT83" i="54" s="1"/>
  <c r="BA145" i="33"/>
  <c r="K24" i="4"/>
  <c r="J17" i="7" s="1"/>
  <c r="C34" i="5"/>
  <c r="E30" i="8"/>
  <c r="F30" i="8" s="1"/>
  <c r="G30" i="8" s="1"/>
  <c r="C58" i="2"/>
  <c r="G33" i="57" s="1"/>
  <c r="H26" i="7"/>
  <c r="B13" i="55" l="1"/>
  <c r="DF68" i="54"/>
  <c r="CD68" i="54"/>
  <c r="DI83" i="54"/>
  <c r="DI97" i="54"/>
  <c r="DI82" i="54"/>
  <c r="DI93" i="54"/>
  <c r="DI89" i="54"/>
  <c r="DI94" i="54"/>
  <c r="DI85" i="54"/>
  <c r="DI96" i="54"/>
  <c r="DI90" i="54"/>
  <c r="DI101" i="54"/>
  <c r="DI91" i="54"/>
  <c r="DI95" i="54"/>
  <c r="DI98" i="54"/>
  <c r="DI99" i="54"/>
  <c r="DI92" i="54"/>
  <c r="DH81" i="54"/>
  <c r="DI100" i="54"/>
  <c r="DI88" i="54"/>
  <c r="DI87" i="54"/>
  <c r="DI84" i="54"/>
  <c r="DI86" i="54"/>
  <c r="CT84" i="54"/>
  <c r="CT85" i="54" s="1"/>
  <c r="CT86" i="54" s="1"/>
  <c r="CT87" i="54" s="1"/>
  <c r="CT88" i="54" s="1"/>
  <c r="CT89" i="54" s="1"/>
  <c r="CT90" i="54" s="1"/>
  <c r="CT91" i="54" s="1"/>
  <c r="CT92" i="54" s="1"/>
  <c r="CT93" i="54" s="1"/>
  <c r="CT94" i="54" s="1"/>
  <c r="CT95" i="54" s="1"/>
  <c r="CT96" i="54" s="1"/>
  <c r="CT97" i="54" s="1"/>
  <c r="CT98" i="54" s="1"/>
  <c r="CT99" i="54" s="1"/>
  <c r="CT100" i="54" s="1"/>
  <c r="C18" i="6"/>
  <c r="G58" i="2"/>
  <c r="H58" i="2" s="1"/>
  <c r="H33" i="57" s="1"/>
  <c r="E31" i="8"/>
  <c r="D18" i="6"/>
  <c r="K17" i="7"/>
  <c r="DI77" i="54" l="1"/>
  <c r="DJ82" i="54" s="1"/>
  <c r="DJ83" i="54" s="1"/>
  <c r="I58" i="2"/>
  <c r="E18" i="6"/>
  <c r="B19" i="6" s="1"/>
  <c r="F31" i="8"/>
  <c r="G18" i="7"/>
  <c r="B20" i="5"/>
  <c r="D20" i="5" s="1"/>
  <c r="F20" i="5" s="1"/>
  <c r="J58" i="2"/>
  <c r="DJ84" i="54" l="1"/>
  <c r="DJ85" i="54" s="1"/>
  <c r="DJ86" i="54" s="1"/>
  <c r="DJ87" i="54" s="1"/>
  <c r="DJ88" i="54" s="1"/>
  <c r="DJ89" i="54" s="1"/>
  <c r="DJ90" i="54" s="1"/>
  <c r="DJ91" i="54" s="1"/>
  <c r="DJ92" i="54" s="1"/>
  <c r="DJ93" i="54" s="1"/>
  <c r="DJ94" i="54" s="1"/>
  <c r="DJ95" i="54" s="1"/>
  <c r="DJ96" i="54" s="1"/>
  <c r="DJ97" i="54" s="1"/>
  <c r="DJ98" i="54" s="1"/>
  <c r="DJ99" i="54" s="1"/>
  <c r="DJ100" i="54" s="1"/>
  <c r="DJ101" i="54" s="1"/>
  <c r="C13" i="55"/>
  <c r="D13" i="55" s="1"/>
  <c r="F13" i="55" s="1"/>
  <c r="C25" i="4"/>
  <c r="B25" i="57" s="1"/>
  <c r="K25" i="57" s="1"/>
  <c r="N25" i="57" s="1"/>
  <c r="F32" i="8"/>
  <c r="G31" i="8"/>
  <c r="E33" i="4"/>
  <c r="K58" i="2"/>
  <c r="K25" i="4" l="1"/>
  <c r="J18" i="7" s="1"/>
  <c r="I26" i="7"/>
  <c r="D59" i="2"/>
  <c r="F34" i="57" s="1"/>
  <c r="L58" i="2"/>
  <c r="E29" i="5"/>
  <c r="F33" i="4"/>
  <c r="BA146" i="33" l="1"/>
  <c r="C19" i="6"/>
  <c r="D19" i="6"/>
  <c r="K18" i="7"/>
  <c r="C59" i="2"/>
  <c r="G34" i="57" s="1"/>
  <c r="H27" i="7"/>
  <c r="E19" i="6" l="1"/>
  <c r="B20" i="6" s="1"/>
  <c r="G59" i="2"/>
  <c r="H59" i="2" s="1"/>
  <c r="H34" i="57" s="1"/>
  <c r="G19" i="7"/>
  <c r="B21" i="5"/>
  <c r="D21" i="5" s="1"/>
  <c r="F21" i="5" s="1"/>
  <c r="C26" i="4" l="1"/>
  <c r="I59" i="2"/>
  <c r="K26" i="4" l="1"/>
  <c r="C20" i="6" s="1"/>
  <c r="B26" i="57"/>
  <c r="K26" i="57" s="1"/>
  <c r="N26" i="57" s="1"/>
  <c r="J59" i="2"/>
  <c r="J19" i="7" l="1"/>
  <c r="D20" i="6" s="1"/>
  <c r="E20" i="6" s="1"/>
  <c r="K19" i="7"/>
  <c r="E34" i="4"/>
  <c r="K59" i="2"/>
  <c r="D60" i="2" l="1"/>
  <c r="F35" i="57" s="1"/>
  <c r="I27" i="7"/>
  <c r="L59" i="2"/>
  <c r="G20" i="7"/>
  <c r="B22" i="5"/>
  <c r="D22" i="5" s="1"/>
  <c r="F22" i="5" s="1"/>
  <c r="B21" i="6"/>
  <c r="E30" i="5"/>
  <c r="F34" i="4"/>
  <c r="C27" i="4" l="1"/>
  <c r="B27" i="57" s="1"/>
  <c r="K27" i="57" s="1"/>
  <c r="N27" i="57" s="1"/>
  <c r="C60" i="2"/>
  <c r="G35" i="57" s="1"/>
  <c r="H28" i="7"/>
  <c r="C20" i="44" l="1"/>
  <c r="K27" i="4"/>
  <c r="J20" i="7" s="1"/>
  <c r="G60" i="2"/>
  <c r="C21" i="6" l="1"/>
  <c r="D21" i="6"/>
  <c r="K20" i="7"/>
  <c r="H60" i="2"/>
  <c r="H35" i="57" s="1"/>
  <c r="E21" i="6" l="1"/>
  <c r="B22" i="6" s="1"/>
  <c r="G21" i="7"/>
  <c r="B23" i="5"/>
  <c r="D23" i="5" s="1"/>
  <c r="F23" i="5" s="1"/>
  <c r="I60" i="2"/>
  <c r="J60" i="2" s="1"/>
  <c r="C28" i="4" l="1"/>
  <c r="B28" i="57" s="1"/>
  <c r="K28" i="57" s="1"/>
  <c r="N28" i="57" s="1"/>
  <c r="E35" i="4"/>
  <c r="K60" i="2"/>
  <c r="K28" i="4" l="1"/>
  <c r="J21" i="7" s="1"/>
  <c r="D61" i="2"/>
  <c r="F36" i="57" s="1"/>
  <c r="I28" i="7"/>
  <c r="L60" i="2"/>
  <c r="E31" i="5"/>
  <c r="F35" i="4"/>
  <c r="C22" i="6" l="1"/>
  <c r="D22" i="6"/>
  <c r="K21" i="7"/>
  <c r="C61" i="2"/>
  <c r="G36" i="57" s="1"/>
  <c r="E22" i="6" l="1"/>
  <c r="B23" i="6" s="1"/>
  <c r="G61" i="2"/>
  <c r="B24" i="5"/>
  <c r="D24" i="5" s="1"/>
  <c r="F24" i="5" s="1"/>
  <c r="G22" i="7"/>
  <c r="H29" i="7"/>
  <c r="C29" i="4" l="1"/>
  <c r="B29" i="57" s="1"/>
  <c r="K29" i="57" s="1"/>
  <c r="N29" i="57" s="1"/>
  <c r="H61" i="2"/>
  <c r="H36" i="57" s="1"/>
  <c r="K29" i="4" l="1"/>
  <c r="J22" i="7" s="1"/>
  <c r="I61" i="2"/>
  <c r="C23" i="6" l="1"/>
  <c r="D23" i="6"/>
  <c r="E23" i="6" s="1"/>
  <c r="K22" i="7"/>
  <c r="J61" i="2"/>
  <c r="G23" i="7" l="1"/>
  <c r="B25" i="5"/>
  <c r="D25" i="5" s="1"/>
  <c r="F25" i="5" s="1"/>
  <c r="B24" i="6"/>
  <c r="E36" i="4"/>
  <c r="K61" i="2"/>
  <c r="C30" i="4" l="1"/>
  <c r="I29" i="7"/>
  <c r="D62" i="2"/>
  <c r="F37" i="57" s="1"/>
  <c r="L61" i="2"/>
  <c r="E32" i="5"/>
  <c r="F36" i="4"/>
  <c r="K30" i="4" l="1"/>
  <c r="C24" i="6" s="1"/>
  <c r="B30" i="57"/>
  <c r="K30" i="57" s="1"/>
  <c r="N30" i="57" s="1"/>
  <c r="C62" i="2"/>
  <c r="G37" i="57" s="1"/>
  <c r="H30" i="7"/>
  <c r="J23" i="7" l="1"/>
  <c r="L20" i="44"/>
  <c r="G62" i="2"/>
  <c r="H62" i="2" s="1"/>
  <c r="H37" i="57" s="1"/>
  <c r="D24" i="6"/>
  <c r="E24" i="6" s="1"/>
  <c r="K23" i="7"/>
  <c r="G16" i="43" l="1"/>
  <c r="B25" i="6"/>
  <c r="G24" i="7"/>
  <c r="B26" i="5"/>
  <c r="D26" i="5" s="1"/>
  <c r="F26" i="5" s="1"/>
  <c r="I62" i="2"/>
  <c r="C31" i="4" l="1"/>
  <c r="B31" i="57" s="1"/>
  <c r="K31" i="57" s="1"/>
  <c r="N31" i="57" s="1"/>
  <c r="J62" i="2"/>
  <c r="K31" i="4" l="1"/>
  <c r="C25" i="6" s="1"/>
  <c r="E37" i="4"/>
  <c r="K62" i="2"/>
  <c r="J24" i="7" l="1"/>
  <c r="D25" i="6" s="1"/>
  <c r="E25" i="6" s="1"/>
  <c r="D63" i="2"/>
  <c r="F38" i="57" s="1"/>
  <c r="I30" i="7"/>
  <c r="L62" i="2"/>
  <c r="E33" i="5"/>
  <c r="F37" i="4"/>
  <c r="K24" i="7" l="1"/>
  <c r="B27" i="5" s="1"/>
  <c r="D27" i="5" s="1"/>
  <c r="F27" i="5" s="1"/>
  <c r="B26" i="6"/>
  <c r="C63" i="2"/>
  <c r="G38" i="57" s="1"/>
  <c r="H31" i="7"/>
  <c r="G25" i="7" l="1"/>
  <c r="C32" i="4" s="1"/>
  <c r="B32" i="57" s="1"/>
  <c r="K32" i="57" s="1"/>
  <c r="N32" i="57" s="1"/>
  <c r="G63" i="2"/>
  <c r="F16" i="43" l="1"/>
  <c r="K32" i="4"/>
  <c r="C26" i="6" s="1"/>
  <c r="H63" i="2"/>
  <c r="H38" i="57" s="1"/>
  <c r="M20" i="44" l="1"/>
  <c r="P20" i="58" s="1"/>
  <c r="Q20" i="58" s="1"/>
  <c r="J25" i="7"/>
  <c r="D26" i="6" s="1"/>
  <c r="E26" i="6" s="1"/>
  <c r="B27" i="6" s="1"/>
  <c r="I63" i="2"/>
  <c r="J63" i="2" s="1"/>
  <c r="K13" i="45" l="1"/>
  <c r="L13" i="45" s="1"/>
  <c r="N20" i="44"/>
  <c r="K25" i="7"/>
  <c r="G26" i="7" s="1"/>
  <c r="E38" i="4"/>
  <c r="K63" i="2"/>
  <c r="L63" i="2" s="1"/>
  <c r="B28" i="5" l="1"/>
  <c r="D28" i="5" s="1"/>
  <c r="F28" i="5" s="1"/>
  <c r="G14" i="45"/>
  <c r="B21" i="58" s="1"/>
  <c r="L21" i="58" s="1"/>
  <c r="O21" i="58" s="1"/>
  <c r="B16" i="43"/>
  <c r="E16" i="43" s="1"/>
  <c r="H16" i="43" s="1"/>
  <c r="I31" i="7"/>
  <c r="C33" i="4"/>
  <c r="E34" i="5"/>
  <c r="F38" i="4"/>
  <c r="K33" i="4" l="1"/>
  <c r="C27" i="6" s="1"/>
  <c r="B33" i="57"/>
  <c r="K33" i="57" s="1"/>
  <c r="N33" i="57" s="1"/>
  <c r="J26" i="7" l="1"/>
  <c r="D27" i="6" s="1"/>
  <c r="E27" i="6" s="1"/>
  <c r="B28" i="6" s="1"/>
  <c r="K26" i="7"/>
  <c r="B29" i="5" l="1"/>
  <c r="D29" i="5" s="1"/>
  <c r="F29" i="5" s="1"/>
  <c r="G27" i="7"/>
  <c r="C34" i="4" l="1"/>
  <c r="K34" i="4" l="1"/>
  <c r="C28" i="6" s="1"/>
  <c r="B34" i="57"/>
  <c r="K34" i="57" s="1"/>
  <c r="N34" i="57" s="1"/>
  <c r="J27" i="7"/>
  <c r="D28" i="6" l="1"/>
  <c r="E28" i="6" s="1"/>
  <c r="B29" i="6" s="1"/>
  <c r="K27" i="7"/>
  <c r="B30" i="5" l="1"/>
  <c r="D30" i="5" s="1"/>
  <c r="F30" i="5" s="1"/>
  <c r="G28" i="7"/>
  <c r="C35" i="4" l="1"/>
  <c r="B35" i="57" s="1"/>
  <c r="K35" i="57" s="1"/>
  <c r="N35" i="57" s="1"/>
  <c r="K35" i="4" l="1"/>
  <c r="C29" i="6" s="1"/>
  <c r="J28" i="7" l="1"/>
  <c r="K28" i="7" s="1"/>
  <c r="D29" i="6" l="1"/>
  <c r="E29" i="6" s="1"/>
  <c r="B30" i="6" s="1"/>
  <c r="G29" i="7"/>
  <c r="B31" i="5"/>
  <c r="D31" i="5" s="1"/>
  <c r="F31" i="5" s="1"/>
  <c r="C36" i="4" l="1"/>
  <c r="B36" i="57" s="1"/>
  <c r="K36" i="57" s="1"/>
  <c r="N36" i="57" s="1"/>
  <c r="K36" i="4" l="1"/>
  <c r="C30" i="6" l="1"/>
  <c r="J29" i="7"/>
  <c r="D30" i="6" s="1"/>
  <c r="E30" i="6" l="1"/>
  <c r="B31" i="6" s="1"/>
  <c r="K29" i="7"/>
  <c r="G30" i="7" l="1"/>
  <c r="C37" i="4" s="1"/>
  <c r="B37" i="57" s="1"/>
  <c r="K37" i="57" s="1"/>
  <c r="N37" i="57" s="1"/>
  <c r="B32" i="5"/>
  <c r="D32" i="5" s="1"/>
  <c r="F32" i="5" s="1"/>
  <c r="K37" i="4" l="1"/>
  <c r="J30" i="7" s="1"/>
  <c r="C31" i="6" l="1"/>
  <c r="D31" i="6"/>
  <c r="K30" i="7"/>
  <c r="E31" i="6" l="1"/>
  <c r="B32" i="6" s="1"/>
  <c r="G31" i="7"/>
  <c r="B33" i="5"/>
  <c r="D33" i="5" s="1"/>
  <c r="F33" i="5" s="1"/>
  <c r="C38" i="4" l="1"/>
  <c r="B38" i="57" s="1"/>
  <c r="K38" i="57" s="1"/>
  <c r="N38" i="57" s="1"/>
  <c r="K38" i="4" l="1"/>
  <c r="C32" i="6" l="1"/>
  <c r="J31" i="7"/>
  <c r="D32" i="6" s="1"/>
  <c r="E32" i="6" s="1"/>
  <c r="K31" i="7" l="1"/>
  <c r="B34" i="5" s="1"/>
  <c r="D34" i="5" s="1"/>
  <c r="F34" i="5" s="1"/>
  <c r="G17" i="43" l="1"/>
  <c r="C21" i="44" l="1"/>
  <c r="L21" i="44" l="1"/>
  <c r="F17" i="43" l="1"/>
  <c r="M21" i="44" l="1"/>
  <c r="P21" i="58" s="1"/>
  <c r="Q21" i="58" s="1"/>
  <c r="N21" i="44" l="1"/>
  <c r="K14" i="45"/>
  <c r="L14" i="45" s="1"/>
  <c r="B17" i="43" s="1"/>
  <c r="E17" i="43" s="1"/>
  <c r="H17" i="4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tc={62BFB5EC-FAE4-4921-B87E-3E56C767466F}</author>
    <author>tc={46F47C7C-A48D-433B-8627-AD2CE13BE536}</author>
  </authors>
  <commentList>
    <comment ref="BL81" authorId="0" shapeId="0" xr:uid="{62BFB5EC-FAE4-4921-B87E-3E56C767466F}">
      <text>
        <t>[Threaded comment]
Your version of Excel allows you to read this threaded comment; however, any edits to it will get removed if the file is opened in a newer version of Excel. Learn more: https://go.microsoft.com/fwlink/?linkid=870924
Comment:
    BN104 = 2? Otherwise there is no bifurcation.</t>
      </text>
    </comment>
    <comment ref="BL82" authorId="1" shapeId="0" xr:uid="{46F47C7C-A48D-433B-8627-AD2CE13BE536}">
      <text>
        <t>[Threaded comment]
Your version of Excel allows you to read this threaded comment; however, any edits to it will get removed if the file is opened in a newer version of Excel. Learn more: https://go.microsoft.com/fwlink/?linkid=870924
Comment:
    BN104 = 2? Otherwise there is no bifurcation.</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tc={8A78D800-1D96-4698-A363-5661E32A64A3}</author>
  </authors>
  <commentList>
    <comment ref="K53" authorId="0" shapeId="0" xr:uid="{8A78D800-1D96-4698-A363-5661E32A64A3}">
      <text>
        <t>[Threaded comment]
Your version of Excel allows you to read this threaded comment; however, any edits to it will get removed if the file is opened in a newer version of Excel. Learn more: https://go.microsoft.com/fwlink/?linkid=870924
Comment:
    spell check</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13" authorId="0" shapeId="0" xr:uid="{1C19DC87-75F7-4BE9-8C54-BBD1D8643F30}">
      <text>
        <r>
          <rPr>
            <b/>
            <sz val="9"/>
            <color indexed="81"/>
            <rFont val="Tahoma"/>
            <family val="2"/>
          </rPr>
          <t>Author:</t>
        </r>
        <r>
          <rPr>
            <sz val="9"/>
            <color indexed="81"/>
            <rFont val="Tahoma"/>
            <family val="2"/>
          </rPr>
          <t xml:space="preserve">
Funded by account value. Using the Guar Interest and the guaranteed COIs</t>
        </r>
      </text>
    </comment>
    <comment ref="E13" authorId="0" shapeId="0" xr:uid="{8BF8392C-2A8C-4CAB-B2E8-AA98845F222C}">
      <text>
        <r>
          <rPr>
            <b/>
            <sz val="9"/>
            <color indexed="81"/>
            <rFont val="Tahoma"/>
            <family val="2"/>
          </rPr>
          <t>Author:</t>
        </r>
        <r>
          <rPr>
            <sz val="9"/>
            <color indexed="81"/>
            <rFont val="Tahoma"/>
            <family val="2"/>
          </rPr>
          <t xml:space="preserve">
Funded by Account Value</t>
        </r>
      </text>
    </comment>
    <comment ref="F13" authorId="0" shapeId="0" xr:uid="{80813B0C-ACB6-4821-9B18-0C2FAD38FE34}">
      <text>
        <r>
          <rPr>
            <b/>
            <sz val="9"/>
            <color indexed="81"/>
            <rFont val="Tahoma"/>
            <family val="2"/>
          </rPr>
          <t>Author:</t>
        </r>
        <r>
          <rPr>
            <sz val="9"/>
            <color indexed="81"/>
            <rFont val="Tahoma"/>
            <family val="2"/>
          </rPr>
          <t xml:space="preserve">
Funded by Premium payments</t>
        </r>
      </text>
    </comment>
  </commentList>
</comments>
</file>

<file path=xl/sharedStrings.xml><?xml version="1.0" encoding="utf-8"?>
<sst xmlns="http://schemas.openxmlformats.org/spreadsheetml/2006/main" count="1827" uniqueCount="421">
  <si>
    <t>UL and IUL</t>
  </si>
  <si>
    <t>Actuarial balances</t>
  </si>
  <si>
    <t>Census</t>
  </si>
  <si>
    <t xml:space="preserve">Policy </t>
  </si>
  <si>
    <t>Policies</t>
  </si>
  <si>
    <t>Unit</t>
  </si>
  <si>
    <t>Units</t>
  </si>
  <si>
    <t>Year</t>
  </si>
  <si>
    <t>Deaths</t>
  </si>
  <si>
    <t>Surrenders</t>
  </si>
  <si>
    <t>End of year</t>
  </si>
  <si>
    <t>Account value rollforward (and surrender charge calculation)</t>
  </si>
  <si>
    <t>Account</t>
  </si>
  <si>
    <t>Value</t>
  </si>
  <si>
    <t>Credited</t>
  </si>
  <si>
    <t>COI</t>
  </si>
  <si>
    <t>Policy</t>
  </si>
  <si>
    <t>Premium</t>
  </si>
  <si>
    <t>Before</t>
  </si>
  <si>
    <t>Withdrawn</t>
  </si>
  <si>
    <t>End of</t>
  </si>
  <si>
    <t>Per</t>
  </si>
  <si>
    <t>Surr Chg</t>
  </si>
  <si>
    <t>Surrender</t>
  </si>
  <si>
    <t>Interest</t>
  </si>
  <si>
    <t>Charges</t>
  </si>
  <si>
    <t>fees</t>
  </si>
  <si>
    <t>Loads</t>
  </si>
  <si>
    <t>Death &amp; Surr</t>
  </si>
  <si>
    <t>At Death</t>
  </si>
  <si>
    <t>At Surrender</t>
  </si>
  <si>
    <t>Surrendered</t>
  </si>
  <si>
    <t>Per Unit</t>
  </si>
  <si>
    <t>DAC</t>
  </si>
  <si>
    <t>Deferrable</t>
  </si>
  <si>
    <t>Total</t>
  </si>
  <si>
    <t>Amortization</t>
  </si>
  <si>
    <t>Non-Commission</t>
  </si>
  <si>
    <t>Factor</t>
  </si>
  <si>
    <t>During</t>
  </si>
  <si>
    <t>Commission</t>
  </si>
  <si>
    <t>Expenses</t>
  </si>
  <si>
    <t>for year</t>
  </si>
  <si>
    <t>Sum</t>
  </si>
  <si>
    <t>DAC rollforward</t>
  </si>
  <si>
    <t>Deferrals</t>
  </si>
  <si>
    <t>UL</t>
  </si>
  <si>
    <t>GAAP Equity Rollforward</t>
  </si>
  <si>
    <t>GAAP</t>
  </si>
  <si>
    <t>Equity</t>
  </si>
  <si>
    <t xml:space="preserve">Beg of </t>
  </si>
  <si>
    <t>Net</t>
  </si>
  <si>
    <t>Shareholder</t>
  </si>
  <si>
    <t>Income</t>
  </si>
  <si>
    <t>Dividend</t>
  </si>
  <si>
    <t>Per Unit Values</t>
  </si>
  <si>
    <t>(1)</t>
  </si>
  <si>
    <t>(2)</t>
  </si>
  <si>
    <t>(3)</t>
  </si>
  <si>
    <t>(4)</t>
  </si>
  <si>
    <t>(5)</t>
  </si>
  <si>
    <t>(6)</t>
  </si>
  <si>
    <t>(7)</t>
  </si>
  <si>
    <t>(8)</t>
  </si>
  <si>
    <t>(9)</t>
  </si>
  <si>
    <t>(10)</t>
  </si>
  <si>
    <t xml:space="preserve">Policy Year </t>
  </si>
  <si>
    <t>Premiums</t>
  </si>
  <si>
    <t>Percentage Load</t>
  </si>
  <si>
    <t>Annual Policy Fee</t>
  </si>
  <si>
    <t>Annual COI Rate</t>
  </si>
  <si>
    <t>Credited Rate</t>
  </si>
  <si>
    <t>COI Charge</t>
  </si>
  <si>
    <t>Interest Credited</t>
  </si>
  <si>
    <t>End of Year Account Value</t>
  </si>
  <si>
    <t>Persistency Bonus</t>
  </si>
  <si>
    <t>Policy  Year</t>
  </si>
  <si>
    <t>Policy Fee</t>
  </si>
  <si>
    <t>COI Rate</t>
  </si>
  <si>
    <t>Persistency Bonus Rate</t>
  </si>
  <si>
    <t>Persistency Bonus Credits</t>
  </si>
  <si>
    <t>Cumulative Interest Discount Factor</t>
  </si>
  <si>
    <t>Bonus Accrual Factor</t>
  </si>
  <si>
    <t>Bonus Liability Before Persistency Adjustment</t>
  </si>
  <si>
    <t>Units In-Force</t>
  </si>
  <si>
    <t>Persistency Factor</t>
  </si>
  <si>
    <t>Persistency Bonus Liability</t>
  </si>
  <si>
    <t>Persistency Bonus Paid</t>
  </si>
  <si>
    <t>Policy Year</t>
  </si>
  <si>
    <t>Illustrative Policy Loads</t>
  </si>
  <si>
    <t>Duration</t>
  </si>
  <si>
    <t>3+</t>
  </si>
  <si>
    <t>Expense Load</t>
  </si>
  <si>
    <t>Per Policy Expense Load</t>
  </si>
  <si>
    <t>Per Policy Issued Unearned Load</t>
  </si>
  <si>
    <t>Units End of Year</t>
  </si>
  <si>
    <t>Amortization Factor</t>
  </si>
  <si>
    <t>PFBL Test</t>
  </si>
  <si>
    <t>Number of policies</t>
  </si>
  <si>
    <t>Units / policy</t>
  </si>
  <si>
    <t>Average face</t>
  </si>
  <si>
    <t>Total units</t>
  </si>
  <si>
    <t>Profits Followed by Losses: Input</t>
  </si>
  <si>
    <t>Premium / Unit</t>
  </si>
  <si>
    <t>Earned Interest Rate</t>
  </si>
  <si>
    <t>Credited Interest Rate</t>
  </si>
  <si>
    <t>Annualized COI Rate</t>
  </si>
  <si>
    <t>Percent of Premium Load</t>
  </si>
  <si>
    <t>Annualized Mortality Rate</t>
  </si>
  <si>
    <t>Annualized Surrender Rate</t>
  </si>
  <si>
    <t>Profits Followed by Losses: Census Data</t>
  </si>
  <si>
    <t>Policies Dying</t>
  </si>
  <si>
    <t>Policies Surrendering</t>
  </si>
  <si>
    <t>Policies  Inforce EOY</t>
  </si>
  <si>
    <t>Units Dying</t>
  </si>
  <si>
    <t>Units Surrendering</t>
  </si>
  <si>
    <t>Units  Inforce EOY</t>
  </si>
  <si>
    <t>Profits Followed by Losses: Per Unit Policy Values</t>
  </si>
  <si>
    <t>Interest Earned</t>
  </si>
  <si>
    <t>Profits Followed by Losses:   Mortality Margin</t>
  </si>
  <si>
    <t>Collected COI charges</t>
  </si>
  <si>
    <t>Collected Loads</t>
  </si>
  <si>
    <t>Funds Released by Death</t>
  </si>
  <si>
    <t>Funds Released by Lapse</t>
  </si>
  <si>
    <t>Death Benefit Paid</t>
  </si>
  <si>
    <t>NAR Paid</t>
  </si>
  <si>
    <t>Mortality Margin</t>
  </si>
  <si>
    <t>Profits Followed by Losses:   Reserve Calculation</t>
  </si>
  <si>
    <t>Discount Rate</t>
  </si>
  <si>
    <t>Benefit Ratio</t>
  </si>
  <si>
    <t>BOY PFBL Reserve (Prospective)</t>
  </si>
  <si>
    <t>BOY PFBL Reserve (Retrospective)</t>
  </si>
  <si>
    <t>IUL</t>
  </si>
  <si>
    <t>Option Budget</t>
  </si>
  <si>
    <t>Option Budget Calculation</t>
  </si>
  <si>
    <t>Capital Market Assumptions</t>
  </si>
  <si>
    <t>ATM Call</t>
  </si>
  <si>
    <t>OTM Call</t>
  </si>
  <si>
    <t>Risk free ( r )</t>
  </si>
  <si>
    <t>Volatility ( v )</t>
  </si>
  <si>
    <t>Dividend rate ( d )</t>
  </si>
  <si>
    <t>initial index</t>
  </si>
  <si>
    <t>Option Parameters</t>
  </si>
  <si>
    <t>Cap</t>
  </si>
  <si>
    <t>%</t>
  </si>
  <si>
    <t>Floor</t>
  </si>
  <si>
    <t>Participation</t>
  </si>
  <si>
    <t>Option Term</t>
  </si>
  <si>
    <t>Budget Calculaton</t>
  </si>
  <si>
    <t>Strike Index</t>
  </si>
  <si>
    <t>Fund deposit</t>
  </si>
  <si>
    <t>A = LN (initial Index/Strike Index)</t>
  </si>
  <si>
    <t>B = (Time) * (r - d + (v^2) / 2)</t>
  </si>
  <si>
    <t>C = v * (Time)^(1/2)</t>
  </si>
  <si>
    <t>D1 = (A + B) / (C)</t>
  </si>
  <si>
    <t>D2 = D1 - C</t>
  </si>
  <si>
    <t>E1 = N(D1)</t>
  </si>
  <si>
    <t>E2 = N(D2)</t>
  </si>
  <si>
    <t>F = initial Index * exp ( -d*(Time)) * E1</t>
  </si>
  <si>
    <t>G = Strike Index * exp (-r*Time)) * E2</t>
  </si>
  <si>
    <t>Option price = F-G</t>
  </si>
  <si>
    <t>Net option price</t>
  </si>
  <si>
    <t>Future option price</t>
  </si>
  <si>
    <t>Calculated Budget</t>
  </si>
  <si>
    <t>Option budget</t>
  </si>
  <si>
    <t>Option payoff</t>
  </si>
  <si>
    <t>Inputs</t>
  </si>
  <si>
    <t>UL/IUL</t>
  </si>
  <si>
    <t>Input</t>
  </si>
  <si>
    <t>Distribute Earnings Based on VED/Host</t>
  </si>
  <si>
    <t>Yes</t>
  </si>
  <si>
    <t>Host and VED Inputs</t>
  </si>
  <si>
    <t>Percent</t>
  </si>
  <si>
    <t>Guar Idx</t>
  </si>
  <si>
    <t>Current</t>
  </si>
  <si>
    <t>Guaranteed</t>
  </si>
  <si>
    <t>of Premium</t>
  </si>
  <si>
    <t>Annualized</t>
  </si>
  <si>
    <t>Mortality</t>
  </si>
  <si>
    <t>Load</t>
  </si>
  <si>
    <t>Fee</t>
  </si>
  <si>
    <t>Int Rate</t>
  </si>
  <si>
    <t>Rate</t>
  </si>
  <si>
    <t>Census Development</t>
  </si>
  <si>
    <t>Host and VED Calculations</t>
  </si>
  <si>
    <t>Guaranteed  Values for Year 1 Deposit Projected From Year 1</t>
  </si>
  <si>
    <t>Guaranteed  Values for All Deposits Projected From Year 2</t>
  </si>
  <si>
    <t>Guaranteed  Values for Year 1 Deposit Projected From Year 2</t>
  </si>
  <si>
    <t>Guaranteed  Values for Year 2 Deposit Projected From Year 2</t>
  </si>
  <si>
    <t>Guaranteed  Values for  All Deposits Projected From Year 3</t>
  </si>
  <si>
    <t>Guaranteed  Values for  Year 1 Deposit Projected From Year 3</t>
  </si>
  <si>
    <t>Guaranteed  Values for  Year 2 Deposit Projected From Year 3</t>
  </si>
  <si>
    <t>Guaranteed  Values for  Year 3 Deposit Projected From Year 3</t>
  </si>
  <si>
    <t>Current  Values for Year 1 Deposit Projected From Year 1</t>
  </si>
  <si>
    <t>Current  Values for All Deposits Projected From Year 2</t>
  </si>
  <si>
    <t>Current  Values for Year 1 Deposit Projected From Year 2</t>
  </si>
  <si>
    <t>Current  Values for Year 2 Deposit Projected From Year 2</t>
  </si>
  <si>
    <t>Current  Values for  All Deposits Projected From Year 3</t>
  </si>
  <si>
    <t>Current  Values for  Year 1 Deposit Projected From Year 3</t>
  </si>
  <si>
    <t>Current  Values for  Year 2 Deposit Projected From Year 3</t>
  </si>
  <si>
    <t>Current  Values for  Year 3 Deposit Projected From Year 3</t>
  </si>
  <si>
    <t>HOST AND VED FROM TIME 2, DEPOSIT 1</t>
  </si>
  <si>
    <t>HOST AND VED FROM TIME 2, DEPOSIT 2</t>
  </si>
  <si>
    <t>HOST AND VED FROM TIME 3, DEPOSIT 1</t>
  </si>
  <si>
    <t>HOST AND VED FROM TIME 3, DEPOSIT 2</t>
  </si>
  <si>
    <t>HOST AND VED FROM TIME 3, DEPOSIT 3</t>
  </si>
  <si>
    <t>VED AT ISSUE</t>
  </si>
  <si>
    <t>HOST IRR</t>
  </si>
  <si>
    <t>INDEX</t>
  </si>
  <si>
    <t>VED RF</t>
  </si>
  <si>
    <t>BENEFITS</t>
  </si>
  <si>
    <t>DISCOUNT</t>
  </si>
  <si>
    <t>BOY VED</t>
  </si>
  <si>
    <t>BOY Host CFs</t>
  </si>
  <si>
    <t>EOY Host</t>
  </si>
  <si>
    <t>Host CFs</t>
  </si>
  <si>
    <t>Host and VED Summary</t>
  </si>
  <si>
    <t>VED</t>
  </si>
  <si>
    <t>Host</t>
  </si>
  <si>
    <t>VED + Host</t>
  </si>
  <si>
    <t>AV</t>
  </si>
  <si>
    <t>(VED + Host)/AV</t>
  </si>
  <si>
    <t>Sales Inducement Asset</t>
  </si>
  <si>
    <t>Sales Inducement</t>
  </si>
  <si>
    <t>No</t>
  </si>
  <si>
    <t>Per Policy</t>
  </si>
  <si>
    <t xml:space="preserve">Surrender </t>
  </si>
  <si>
    <t>Earned</t>
  </si>
  <si>
    <t>Acquistion</t>
  </si>
  <si>
    <t>Defble Acq</t>
  </si>
  <si>
    <t>Maintenance</t>
  </si>
  <si>
    <t xml:space="preserve">Premium </t>
  </si>
  <si>
    <t>Charge</t>
  </si>
  <si>
    <t>Expense</t>
  </si>
  <si>
    <t>Tax</t>
  </si>
  <si>
    <t>Income Statement</t>
  </si>
  <si>
    <t>Traditional type presentation</t>
  </si>
  <si>
    <t>Investment</t>
  </si>
  <si>
    <t>Death</t>
  </si>
  <si>
    <t>Change</t>
  </si>
  <si>
    <t>Benefits</t>
  </si>
  <si>
    <t>in Reserve</t>
  </si>
  <si>
    <t>Traditional-type presentation</t>
  </si>
  <si>
    <t>Non-Hedge</t>
  </si>
  <si>
    <t>AV-Based</t>
  </si>
  <si>
    <t>Final</t>
  </si>
  <si>
    <t>Hedge</t>
  </si>
  <si>
    <t xml:space="preserve">Change in </t>
  </si>
  <si>
    <t xml:space="preserve">Net </t>
  </si>
  <si>
    <t>Gain</t>
  </si>
  <si>
    <t>Acct Val</t>
  </si>
  <si>
    <t>GAAP Presentation</t>
  </si>
  <si>
    <t>Product</t>
  </si>
  <si>
    <t>Margins</t>
  </si>
  <si>
    <t>Invested</t>
  </si>
  <si>
    <t>Acquisition</t>
  </si>
  <si>
    <t>Assets</t>
  </si>
  <si>
    <t>Dividends</t>
  </si>
  <si>
    <t>Balance Sheet</t>
  </si>
  <si>
    <t>GAAP Balance Sheet</t>
  </si>
  <si>
    <t>Liabilities</t>
  </si>
  <si>
    <t>Fair Value</t>
  </si>
  <si>
    <t>AV Rolldforward without Decrements</t>
  </si>
  <si>
    <t>Table 10V</t>
  </si>
  <si>
    <t>Table 7-1</t>
  </si>
  <si>
    <t>Table 7-2</t>
  </si>
  <si>
    <t>Unearned Revenue Liability</t>
  </si>
  <si>
    <t>Tables 7-5 to 7-8</t>
  </si>
  <si>
    <t>Table 7-5</t>
  </si>
  <si>
    <t>Table 7-6</t>
  </si>
  <si>
    <t>Table 7-7</t>
  </si>
  <si>
    <t>Percent Load</t>
  </si>
  <si>
    <t>Interest Credit</t>
  </si>
  <si>
    <t xml:space="preserve"> Account Value EOY</t>
  </si>
  <si>
    <t>Table 7-8</t>
  </si>
  <si>
    <t>Table 7-9</t>
  </si>
  <si>
    <t>Assess-ments</t>
  </si>
  <si>
    <t>Death Benefits</t>
  </si>
  <si>
    <t xml:space="preserve"> PV of Assess- ments (BOY)</t>
  </si>
  <si>
    <t xml:space="preserve"> PV of Death Benefits (BOY)</t>
  </si>
  <si>
    <t>Table 7-10</t>
  </si>
  <si>
    <t>Initial index</t>
  </si>
  <si>
    <t>Table 7-11</t>
  </si>
  <si>
    <t>Percent of</t>
  </si>
  <si>
    <t>Table 7-12</t>
  </si>
  <si>
    <t>Table 7-14</t>
  </si>
  <si>
    <t>Table 7-15</t>
  </si>
  <si>
    <t>HOST AND EMBEDDED DERIVATIVE FROM TIME 1</t>
  </si>
  <si>
    <t>Index</t>
  </si>
  <si>
    <t>VED risf-free</t>
  </si>
  <si>
    <t>Discount</t>
  </si>
  <si>
    <t xml:space="preserve"> (BOY)</t>
  </si>
  <si>
    <t>Flows (BOY)</t>
  </si>
  <si>
    <t>VED at issue</t>
  </si>
  <si>
    <t>Table 7-16</t>
  </si>
  <si>
    <t>Table 7-17</t>
  </si>
  <si>
    <t>Table 7-18</t>
  </si>
  <si>
    <t>Table 7-19</t>
  </si>
  <si>
    <t>Table 7-20</t>
  </si>
  <si>
    <t>(EOY)</t>
  </si>
  <si>
    <t>Bonus Liability</t>
  </si>
  <si>
    <t>Projected Persistency Bonus / Unit</t>
  </si>
  <si>
    <t>Projected Account Value</t>
  </si>
  <si>
    <t>Table 7-25</t>
  </si>
  <si>
    <t>units</t>
  </si>
  <si>
    <t>Sum  of Current and Future Units</t>
  </si>
  <si>
    <t>Amorti- zation</t>
  </si>
  <si>
    <t>Amorti- zation Factor</t>
  </si>
  <si>
    <t>Table 7-26</t>
  </si>
  <si>
    <t>Inputs for Profit Emergence Example</t>
  </si>
  <si>
    <t>Input for Indexed Universal Life</t>
  </si>
  <si>
    <t>Table 7-26a</t>
  </si>
  <si>
    <t>Table 7-26b</t>
  </si>
  <si>
    <t>Table 7-27</t>
  </si>
  <si>
    <t>Universal Life Cash Flow-Based Earnings</t>
  </si>
  <si>
    <t>Amorti-</t>
  </si>
  <si>
    <t>zation</t>
  </si>
  <si>
    <t>Mainten-</t>
  </si>
  <si>
    <t>ance</t>
  </si>
  <si>
    <t>Non-</t>
  </si>
  <si>
    <t>deferrrable</t>
  </si>
  <si>
    <t>Indexed Universal Life Cash Flow-Based Earnings</t>
  </si>
  <si>
    <t>Table 7-28</t>
  </si>
  <si>
    <t>deferrable</t>
  </si>
  <si>
    <t>Table 7-29</t>
  </si>
  <si>
    <t>Universal Life Margin-Based Earnings</t>
  </si>
  <si>
    <t>Invest-</t>
  </si>
  <si>
    <t>ment</t>
  </si>
  <si>
    <t>Table 7-30</t>
  </si>
  <si>
    <t>Differences</t>
  </si>
  <si>
    <t>Non</t>
  </si>
  <si>
    <t>Indexed Universal Life Margin-Based Earnings</t>
  </si>
  <si>
    <t xml:space="preserve">Table 7-31 </t>
  </si>
  <si>
    <t>Universal Life Invested Asset Rollforward</t>
  </si>
  <si>
    <t>Defer</t>
  </si>
  <si>
    <t>-rable</t>
  </si>
  <si>
    <t>Indexed Universal Life Invested Asset Rollforward</t>
  </si>
  <si>
    <t>Table 7-33</t>
  </si>
  <si>
    <t>Non-hedge</t>
  </si>
  <si>
    <t xml:space="preserve"> Assets</t>
  </si>
  <si>
    <t>Liability</t>
  </si>
  <si>
    <t>Emb. Deriv.</t>
  </si>
  <si>
    <t>Indexed Universal Life Balance Sheet</t>
  </si>
  <si>
    <t>Table 7-24</t>
  </si>
  <si>
    <t>Table 7-13</t>
  </si>
  <si>
    <t>Table 7-21</t>
  </si>
  <si>
    <t>Table 7-22</t>
  </si>
  <si>
    <t>Table 7-23</t>
  </si>
  <si>
    <t>Table 7-10 Option Budget Calculation</t>
  </si>
  <si>
    <t>Policy Parameters</t>
  </si>
  <si>
    <t>Cap rate</t>
  </si>
  <si>
    <t>Participation rate</t>
  </si>
  <si>
    <t>year</t>
  </si>
  <si>
    <t>At-the-Money Call</t>
  </si>
  <si>
    <t>Out-of-the-Money Call</t>
  </si>
  <si>
    <t>Initial index price (S)</t>
  </si>
  <si>
    <t>Index strike price (K)</t>
  </si>
  <si>
    <t>Black-Scholes Calculations</t>
  </si>
  <si>
    <t xml:space="preserve">E1 = N(D1) </t>
  </si>
  <si>
    <t>Net option price = (At-the-Money Call) - (Out-of-the-Money Call)</t>
  </si>
  <si>
    <t>Calculated Budget (as a percent of fund deposit)</t>
  </si>
  <si>
    <t>N is the cumulative distribution function of the standard normal distribution</t>
  </si>
  <si>
    <t>Table 7-3</t>
  </si>
  <si>
    <t>Table 7-4</t>
  </si>
  <si>
    <t>Table 7-10 (this isn't the actual table that's in the book; see next tab for that)</t>
  </si>
  <si>
    <t>Tables 7-13 to 7-23</t>
  </si>
  <si>
    <t>Table 7-32</t>
  </si>
  <si>
    <t>Table 7-34</t>
  </si>
  <si>
    <t>Society of Actuaries</t>
  </si>
  <si>
    <t>US GAAP for Insurers - 3rd edition</t>
  </si>
  <si>
    <t>Product Type</t>
  </si>
  <si>
    <t>Disclaimer</t>
  </si>
  <si>
    <t>Copyright © 2024 by the Society of Actuaries. All rights reserved.</t>
  </si>
  <si>
    <t>This material is provided for informational and educational purposes only. Neither the Society of Actuaries nor the respective authors’ employers make any endorsement, representation or guarantee</t>
  </si>
  <si>
    <t>with regard to any content, and disclaim any liability in connection with the use or misuse of any information provided herein. This publication should not be construed as professional or financial advice.</t>
  </si>
  <si>
    <t>Statements of fact and opinions expressed herein are those of the individual authors and are not necessarily those of the Society of Actuaries or the respective authors’ employers.</t>
  </si>
  <si>
    <t>Generally</t>
  </si>
  <si>
    <t>As a general rule, the spreadsheets are formatted as follows:</t>
  </si>
  <si>
    <t>Table numbers, where applicable, are consistent with the numbers in the book.</t>
  </si>
  <si>
    <t>Universal Life Insurance</t>
  </si>
  <si>
    <r>
      <t xml:space="preserve">Option term ( </t>
    </r>
    <r>
      <rPr>
        <i/>
        <sz val="11"/>
        <rFont val="Calibri"/>
        <family val="2"/>
        <scheme val="minor"/>
      </rPr>
      <t xml:space="preserve">t </t>
    </r>
    <r>
      <rPr>
        <sz val="11"/>
        <rFont val="Calibri"/>
        <family val="2"/>
        <scheme val="minor"/>
      </rPr>
      <t>)</t>
    </r>
  </si>
  <si>
    <r>
      <t>Risk-free rate (</t>
    </r>
    <r>
      <rPr>
        <i/>
        <sz val="11"/>
        <rFont val="Calibri"/>
        <family val="2"/>
        <scheme val="minor"/>
      </rPr>
      <t xml:space="preserve"> r</t>
    </r>
    <r>
      <rPr>
        <sz val="11"/>
        <rFont val="Calibri"/>
        <family val="2"/>
        <scheme val="minor"/>
      </rPr>
      <t xml:space="preserve"> )</t>
    </r>
  </si>
  <si>
    <r>
      <t xml:space="preserve">Volatility ( </t>
    </r>
    <r>
      <rPr>
        <i/>
        <sz val="11"/>
        <rFont val="Calibri"/>
        <family val="2"/>
        <scheme val="minor"/>
      </rPr>
      <t>σ</t>
    </r>
    <r>
      <rPr>
        <sz val="11"/>
        <rFont val="Calibri"/>
        <family val="2"/>
        <scheme val="minor"/>
      </rPr>
      <t xml:space="preserve"> )</t>
    </r>
  </si>
  <si>
    <r>
      <t xml:space="preserve">Dividend rate ( </t>
    </r>
    <r>
      <rPr>
        <i/>
        <sz val="11"/>
        <rFont val="Calibri"/>
        <family val="2"/>
        <scheme val="minor"/>
      </rPr>
      <t>d</t>
    </r>
    <r>
      <rPr>
        <sz val="11"/>
        <rFont val="Calibri"/>
        <family val="2"/>
        <scheme val="minor"/>
      </rPr>
      <t xml:space="preserve"> )</t>
    </r>
  </si>
  <si>
    <r>
      <t xml:space="preserve">D1 = [ln(S/K) + </t>
    </r>
    <r>
      <rPr>
        <i/>
        <sz val="11"/>
        <rFont val="Calibri"/>
        <family val="2"/>
        <scheme val="minor"/>
      </rPr>
      <t>t</t>
    </r>
    <r>
      <rPr>
        <sz val="11"/>
        <rFont val="Calibri"/>
        <family val="2"/>
        <scheme val="minor"/>
      </rPr>
      <t>(</t>
    </r>
    <r>
      <rPr>
        <i/>
        <sz val="11"/>
        <rFont val="Calibri"/>
        <family val="2"/>
        <scheme val="minor"/>
      </rPr>
      <t>r</t>
    </r>
    <r>
      <rPr>
        <sz val="11"/>
        <rFont val="Calibri"/>
        <family val="2"/>
        <scheme val="minor"/>
      </rPr>
      <t xml:space="preserve"> - </t>
    </r>
    <r>
      <rPr>
        <i/>
        <sz val="11"/>
        <rFont val="Calibri"/>
        <family val="2"/>
        <scheme val="minor"/>
      </rPr>
      <t xml:space="preserve">d </t>
    </r>
    <r>
      <rPr>
        <sz val="11"/>
        <rFont val="Calibri"/>
        <family val="2"/>
        <scheme val="minor"/>
      </rPr>
      <t>+ σ</t>
    </r>
    <r>
      <rPr>
        <vertAlign val="superscript"/>
        <sz val="11"/>
        <rFont val="Calibri"/>
        <family val="2"/>
        <scheme val="minor"/>
      </rPr>
      <t>2</t>
    </r>
    <r>
      <rPr>
        <sz val="11"/>
        <rFont val="Calibri"/>
        <family val="2"/>
        <scheme val="minor"/>
      </rPr>
      <t>∕2)] / σ√t</t>
    </r>
  </si>
  <si>
    <r>
      <t>D2 = D1 -σ√</t>
    </r>
    <r>
      <rPr>
        <i/>
        <sz val="11"/>
        <rFont val="Calibri"/>
        <family val="2"/>
        <scheme val="minor"/>
      </rPr>
      <t>t</t>
    </r>
  </si>
  <si>
    <r>
      <t>F = Se</t>
    </r>
    <r>
      <rPr>
        <vertAlign val="superscript"/>
        <sz val="11"/>
        <rFont val="Calibri"/>
        <family val="2"/>
        <scheme val="minor"/>
      </rPr>
      <t>-</t>
    </r>
    <r>
      <rPr>
        <i/>
        <vertAlign val="superscript"/>
        <sz val="11"/>
        <rFont val="Calibri"/>
        <family val="2"/>
        <scheme val="minor"/>
      </rPr>
      <t>dt</t>
    </r>
    <r>
      <rPr>
        <sz val="11"/>
        <rFont val="Calibri"/>
        <family val="2"/>
        <scheme val="minor"/>
      </rPr>
      <t>E1</t>
    </r>
  </si>
  <si>
    <r>
      <t>G = Ke</t>
    </r>
    <r>
      <rPr>
        <vertAlign val="superscript"/>
        <sz val="11"/>
        <rFont val="Calibri"/>
        <family val="2"/>
        <scheme val="minor"/>
      </rPr>
      <t>-</t>
    </r>
    <r>
      <rPr>
        <i/>
        <vertAlign val="superscript"/>
        <sz val="11"/>
        <rFont val="Calibri"/>
        <family val="2"/>
        <scheme val="minor"/>
      </rPr>
      <t>rt</t>
    </r>
    <r>
      <rPr>
        <sz val="11"/>
        <rFont val="Calibri"/>
        <family val="2"/>
        <scheme val="minor"/>
      </rPr>
      <t>E2</t>
    </r>
  </si>
  <si>
    <r>
      <t>Option price = Se</t>
    </r>
    <r>
      <rPr>
        <vertAlign val="superscript"/>
        <sz val="11"/>
        <rFont val="Calibri"/>
        <family val="2"/>
        <scheme val="minor"/>
      </rPr>
      <t>-</t>
    </r>
    <r>
      <rPr>
        <i/>
        <vertAlign val="superscript"/>
        <sz val="11"/>
        <rFont val="Calibri"/>
        <family val="2"/>
        <scheme val="minor"/>
      </rPr>
      <t>dt</t>
    </r>
    <r>
      <rPr>
        <sz val="11"/>
        <rFont val="Calibri"/>
        <family val="2"/>
        <scheme val="minor"/>
      </rPr>
      <t>N(D1)-Ke</t>
    </r>
    <r>
      <rPr>
        <i/>
        <vertAlign val="superscript"/>
        <sz val="11"/>
        <rFont val="Calibri"/>
        <family val="2"/>
        <scheme val="minor"/>
      </rPr>
      <t>-rt</t>
    </r>
    <r>
      <rPr>
        <sz val="11"/>
        <rFont val="Calibri"/>
        <family val="2"/>
        <scheme val="minor"/>
      </rPr>
      <t>N(D2)</t>
    </r>
  </si>
  <si>
    <r>
      <t xml:space="preserve">Future option price = (Net option price) x (1 + </t>
    </r>
    <r>
      <rPr>
        <i/>
        <sz val="11"/>
        <rFont val="Calibri"/>
        <family val="2"/>
        <scheme val="minor"/>
      </rPr>
      <t>r</t>
    </r>
    <r>
      <rPr>
        <sz val="11"/>
        <rFont val="Calibri"/>
        <family val="2"/>
        <scheme val="minor"/>
      </rPr>
      <t>)</t>
    </r>
    <r>
      <rPr>
        <i/>
        <vertAlign val="superscript"/>
        <sz val="11"/>
        <rFont val="Calibri"/>
        <family val="2"/>
        <scheme val="minor"/>
      </rPr>
      <t>t</t>
    </r>
  </si>
  <si>
    <r>
      <rPr>
        <sz val="11"/>
        <color theme="1"/>
        <rFont val="Calibri"/>
        <family val="2"/>
        <scheme val="minor"/>
      </rPr>
      <t xml:space="preserve"> Host Cash </t>
    </r>
    <r>
      <rPr>
        <b/>
        <sz val="11"/>
        <color theme="1"/>
        <rFont val="Calibri"/>
        <family val="2"/>
        <scheme val="minor"/>
      </rPr>
      <t xml:space="preserve"> </t>
    </r>
  </si>
  <si>
    <r>
      <rPr>
        <b/>
        <u/>
        <sz val="11"/>
        <color theme="1"/>
        <rFont val="Calibri"/>
        <family val="2"/>
        <scheme val="minor"/>
      </rPr>
      <t>Minimum</t>
    </r>
    <r>
      <rPr>
        <u/>
        <sz val="11"/>
        <color theme="1"/>
        <rFont val="Calibri"/>
        <family val="2"/>
        <scheme val="minor"/>
      </rPr>
      <t xml:space="preserve"> account value rollforward (Guaranteed Value)</t>
    </r>
  </si>
  <si>
    <r>
      <rPr>
        <b/>
        <u/>
        <sz val="11"/>
        <color theme="1"/>
        <rFont val="Calibri"/>
        <family val="2"/>
        <scheme val="minor"/>
      </rPr>
      <t>Index account value</t>
    </r>
    <r>
      <rPr>
        <u/>
        <sz val="11"/>
        <color theme="1"/>
        <rFont val="Calibri"/>
        <family val="2"/>
        <scheme val="minor"/>
      </rPr>
      <t xml:space="preserve"> rollforward</t>
    </r>
  </si>
  <si>
    <t>This spreadsheet is not intended to be a financial reporting or valuation system.  It was developed solely for the purpose of constructing numerical examples for the text and is not suitable for any other application.</t>
  </si>
  <si>
    <t>Product Characteristics</t>
  </si>
  <si>
    <t>The products modeled in this spreadsheet are all versions of universal life insurance.</t>
  </si>
  <si>
    <t>Some of the products in this spreadsheet have surrender charges and some have persistency bonuses.</t>
  </si>
  <si>
    <t>The products in this spreadsheet have a fixed face amount payable at death and a cash surrender value (account value less surrender charge) payable on policy surrender.</t>
  </si>
  <si>
    <t>Some of the products modeled are indexed universal life insurance.  These products have account values where the credited interest is related to the growth in an index, such as the S&amp;P 500.</t>
  </si>
  <si>
    <t>Table 7-10 illustrates the calculation of the option budget for an indexed universal life policy.</t>
  </si>
  <si>
    <t>Table 7-26 contains the various inputs for most of the examples in this spreadsheet.</t>
  </si>
  <si>
    <t>Tables 7-11 through 7-24 illustrate the calculations of the liability for the host and fair value of the embedded derivative for an indexed universal life insurance policy.</t>
  </si>
  <si>
    <t>Table 7-25 illustrates the calculation of a sales inducement asset.</t>
  </si>
  <si>
    <t>For simplicity, dividends paid to shareholders are assumed to be the full amount of GAAP profits earned during the period.</t>
  </si>
  <si>
    <t>Premiums, commissions, acquisition and maintenance expenses are assumed to be paid at the beginning of the policy year.</t>
  </si>
  <si>
    <t>Deaths, claim expenses, and lapses are assumed to occur at the end of the policy year.</t>
  </si>
  <si>
    <t>Modeling Assumptions</t>
  </si>
  <si>
    <t>Ratio of guaranteed COI to current COI</t>
  </si>
  <si>
    <t>Universal life insurance has an account value which goes up by premiums, down by product loads and cost of insurance charges, and up by credited interest.</t>
  </si>
  <si>
    <t>Tables 7-1 and 7-2 illustrate the calculation of policy values for a 20-year universal life policy with a persistency bonus payable at the end of year 10.</t>
  </si>
  <si>
    <t>Tables 7-3 and 7-4 illustrate the calculation of the unearned revenue liability for a 20-year front-end loaded universal life product.</t>
  </si>
  <si>
    <t>Tables 7-5 to 7-9 illustrate the calculation of the profits-followed-by-losses liability for a 20-year front-end loaded universal life insurance policy.</t>
  </si>
  <si>
    <t>The "Actuarial balances" and "GAAP Equity Rollforward" tabs and Tables 7-27, 7-29, 7-31, and 7-33 illustrate the profit emergence for a 20-year universal life insurance policy.</t>
  </si>
  <si>
    <t>Hard-coded / assumption inputs have text colored blue.</t>
  </si>
  <si>
    <t>Formulas have text colored black.</t>
  </si>
  <si>
    <t>Explanation of Spreadsheet Tabs</t>
  </si>
  <si>
    <t>Version: 2024 04</t>
  </si>
  <si>
    <t>Tables 7-28, 7-30, 7-32, 7-34 illustrate the profit emergence for a group of indexed universal life insurance policies like the policy in Tables 7-11 through 7-24.</t>
  </si>
  <si>
    <r>
      <t xml:space="preserve">This spreadsheet supports numerical examples in the text </t>
    </r>
    <r>
      <rPr>
        <i/>
        <sz val="11"/>
        <rFont val="Calibri"/>
        <family val="2"/>
        <scheme val="minor"/>
      </rPr>
      <t>US GAAP for Insurers—3rd edition</t>
    </r>
    <r>
      <rPr>
        <sz val="11"/>
        <rFont val="Calibri"/>
        <family val="2"/>
        <scheme val="minor"/>
      </rPr>
      <t xml:space="preserve">.  We encourage the user to refer to the text in conjunction with this spreadsheet.  </t>
    </r>
  </si>
  <si>
    <t>Users should use any information from the spreadsheet at their own risk.</t>
  </si>
  <si>
    <r>
      <t xml:space="preserve">Neither the authors of </t>
    </r>
    <r>
      <rPr>
        <i/>
        <sz val="11"/>
        <rFont val="Calibri"/>
        <family val="2"/>
        <scheme val="minor"/>
      </rPr>
      <t>US GAAP for Insurers—3rd edition</t>
    </r>
    <r>
      <rPr>
        <sz val="11"/>
        <rFont val="Calibri"/>
        <family val="2"/>
        <scheme val="minor"/>
      </rPr>
      <t xml:space="preserve"> nor the Society of Actuaries are available to answer questions regarding the spreadsheets.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</si>
</sst>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8" formatCode="&quot;$&quot;#,##0.00_);[Red]\(&quot;$&quot;#,##0.00\)"/>
    <numFmt numFmtId="41" formatCode="_(* #,##0_);_(* \(#,##0\);_(* &quot;-&quot;_);_(@_)"/>
    <numFmt numFmtId="44" formatCode="_(&quot;$&quot;* #,##0.00_);_(&quot;$&quot;* \(#,##0.00\);_(&quot;$&quot;* &quot;-&quot;??_);_(@_)"/>
    <numFmt numFmtId="43" formatCode="_(* #,##0.00_);_(* \(#,##0.00\);_(* &quot;-&quot;??_);_(@_)"/>
    <numFmt numFmtId="164" formatCode="0.0%"/>
    <numFmt numFmtId="165" formatCode="_(* #,##0_);_(* \(#,##0\);_(* &quot;-&quot;??_);_(@_)"/>
    <numFmt numFmtId="166" formatCode="_(* #,##0.0_);_(* \(#,##0.0\);_(* &quot;-&quot;??_);_(@_)"/>
    <numFmt numFmtId="167" formatCode="_(* #,##0_);_(* \(#,##0\);_(* &quot;-&quot;?_);_(@_)"/>
    <numFmt numFmtId="168" formatCode="0.0000"/>
    <numFmt numFmtId="169" formatCode="0.00000"/>
    <numFmt numFmtId="170" formatCode="_(* #,##0.00000_);_(* \(#,##0.00000\);_(* &quot;-&quot;??_);_(@_)"/>
    <numFmt numFmtId="171" formatCode="0_);\(0\)"/>
    <numFmt numFmtId="172" formatCode="_(* #,##0.000_);_(* \(#,##0.000\);_(* &quot;-&quot;??_);_(@_)"/>
    <numFmt numFmtId="173" formatCode="0.0000%"/>
    <numFmt numFmtId="174" formatCode="#,##0.0000"/>
    <numFmt numFmtId="175" formatCode="_(* #,##0.0000_);_(* \(#,##0.0000\);_(* &quot;-&quot;??_);_(@_)"/>
    <numFmt numFmtId="176" formatCode="#,##0.00000"/>
    <numFmt numFmtId="177" formatCode="0.00000000"/>
    <numFmt numFmtId="178" formatCode="#,##0.0"/>
    <numFmt numFmtId="179" formatCode="_(* #,##0.000000_);_(* \(#,##0.000000\);_(* &quot;-&quot;?_);_(@_)"/>
    <numFmt numFmtId="180" formatCode="0.00_);\(0.00\)"/>
    <numFmt numFmtId="181" formatCode="#,##0.000"/>
    <numFmt numFmtId="182" formatCode="_(* #,##0.00_);_(* \(#,##0.00\);_(* &quot;-&quot;?_);_(@_)"/>
  </numFmts>
  <fonts count="20" x14ac:knownFonts="1">
    <font>
      <sz val="11"/>
      <color theme="1"/>
      <name val="Calibri"/>
      <family val="2"/>
      <scheme val="minor"/>
    </font>
    <font>
      <sz val="11"/>
      <color theme="1"/>
      <name val="Calibri"/>
      <family val="2"/>
      <scheme val="minor"/>
    </font>
    <font>
      <b/>
      <sz val="11"/>
      <color theme="1"/>
      <name val="Calibri"/>
      <family val="2"/>
      <scheme val="minor"/>
    </font>
    <font>
      <u/>
      <sz val="11"/>
      <color theme="1"/>
      <name val="Calibri"/>
      <family val="2"/>
      <scheme val="minor"/>
    </font>
    <font>
      <sz val="10"/>
      <name val="Arial"/>
      <family val="2"/>
    </font>
    <font>
      <sz val="8"/>
      <name val="Arial"/>
      <family val="2"/>
    </font>
    <font>
      <sz val="9"/>
      <color indexed="81"/>
      <name val="Tahoma"/>
      <family val="2"/>
    </font>
    <font>
      <b/>
      <sz val="9"/>
      <color indexed="81"/>
      <name val="Tahoma"/>
      <family val="2"/>
    </font>
    <font>
      <b/>
      <sz val="11"/>
      <name val="Calibri"/>
      <family val="2"/>
      <scheme val="minor"/>
    </font>
    <font>
      <sz val="11"/>
      <name val="Calibri"/>
      <family val="2"/>
      <scheme val="minor"/>
    </font>
    <font>
      <u/>
      <sz val="11"/>
      <name val="Calibri"/>
      <family val="2"/>
      <scheme val="minor"/>
    </font>
    <font>
      <sz val="8"/>
      <name val="Calibri"/>
      <family val="2"/>
      <scheme val="minor"/>
    </font>
    <font>
      <b/>
      <i/>
      <sz val="11"/>
      <color rgb="FFFF0000"/>
      <name val="Calibri"/>
      <family val="2"/>
      <scheme val="minor"/>
    </font>
    <font>
      <sz val="11"/>
      <color rgb="FF0070C0"/>
      <name val="Calibri"/>
      <family val="2"/>
      <scheme val="minor"/>
    </font>
    <font>
      <b/>
      <sz val="11"/>
      <color rgb="FFFF0000"/>
      <name val="Calibri"/>
      <family val="2"/>
      <scheme val="minor"/>
    </font>
    <font>
      <i/>
      <sz val="11"/>
      <name val="Calibri"/>
      <family val="2"/>
      <scheme val="minor"/>
    </font>
    <font>
      <vertAlign val="superscript"/>
      <sz val="11"/>
      <name val="Calibri"/>
      <family val="2"/>
      <scheme val="minor"/>
    </font>
    <font>
      <i/>
      <vertAlign val="superscript"/>
      <sz val="11"/>
      <name val="Calibri"/>
      <family val="2"/>
      <scheme val="minor"/>
    </font>
    <font>
      <b/>
      <u/>
      <sz val="11"/>
      <color theme="1"/>
      <name val="Calibri"/>
      <family val="2"/>
      <scheme val="minor"/>
    </font>
    <font>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6">
    <border>
      <left/>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thin">
        <color indexed="64"/>
      </left>
      <right/>
      <top/>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4" fillId="0" borderId="0"/>
    <xf numFmtId="0" fontId="5" fillId="0" borderId="0"/>
    <xf numFmtId="9" fontId="5" fillId="0" borderId="0" applyFont="0" applyFill="0" applyBorder="0" applyAlignment="0" applyProtection="0"/>
    <xf numFmtId="43" fontId="5" fillId="0" borderId="0" applyFont="0" applyFill="0" applyBorder="0" applyAlignment="0" applyProtection="0"/>
    <xf numFmtId="0" fontId="4" fillId="0" borderId="0"/>
  </cellStyleXfs>
  <cellXfs count="481">
    <xf numFmtId="0" fontId="0" fillId="0" borderId="0" xfId="0"/>
    <xf numFmtId="0" fontId="2" fillId="0" borderId="0" xfId="0" applyFont="1"/>
    <xf numFmtId="0" fontId="3" fillId="0" borderId="0" xfId="0" applyFont="1" applyAlignment="1">
      <alignment horizontal="right"/>
    </xf>
    <xf numFmtId="0" fontId="3" fillId="0" borderId="0" xfId="0" applyFont="1"/>
    <xf numFmtId="0" fontId="2" fillId="0" borderId="0" xfId="0" applyFont="1" applyAlignment="1">
      <alignment horizontal="right"/>
    </xf>
    <xf numFmtId="0" fontId="2" fillId="2" borderId="0" xfId="0" applyFont="1" applyFill="1"/>
    <xf numFmtId="0" fontId="9" fillId="0" borderId="0" xfId="0" applyFont="1"/>
    <xf numFmtId="0" fontId="10" fillId="0" borderId="0" xfId="0" applyFont="1"/>
    <xf numFmtId="0" fontId="9" fillId="0" borderId="0" xfId="0" applyFont="1" applyAlignment="1">
      <alignment horizontal="right"/>
    </xf>
    <xf numFmtId="0" fontId="10" fillId="0" borderId="0" xfId="0" applyFont="1" applyAlignment="1">
      <alignment horizontal="right"/>
    </xf>
    <xf numFmtId="165" fontId="9" fillId="0" borderId="0" xfId="0" applyNumberFormat="1" applyFont="1"/>
    <xf numFmtId="10" fontId="9" fillId="0" borderId="0" xfId="2" applyNumberFormat="1" applyFont="1" applyFill="1"/>
    <xf numFmtId="9" fontId="9" fillId="0" borderId="0" xfId="2" applyFont="1" applyFill="1"/>
    <xf numFmtId="10" fontId="9" fillId="0" borderId="7" xfId="2" applyNumberFormat="1" applyFont="1" applyFill="1" applyBorder="1" applyAlignment="1">
      <alignment horizontal="right"/>
    </xf>
    <xf numFmtId="4" fontId="9" fillId="0" borderId="7" xfId="5" applyNumberFormat="1" applyFont="1" applyBorder="1" applyAlignment="1">
      <alignment horizontal="right"/>
    </xf>
    <xf numFmtId="0" fontId="2" fillId="0" borderId="3" xfId="0" applyFont="1" applyBorder="1"/>
    <xf numFmtId="0" fontId="2" fillId="0" borderId="4" xfId="0" applyFont="1" applyBorder="1"/>
    <xf numFmtId="0" fontId="2" fillId="0" borderId="5" xfId="0" applyFont="1" applyBorder="1"/>
    <xf numFmtId="0" fontId="2" fillId="0" borderId="6" xfId="0" applyFont="1" applyBorder="1"/>
    <xf numFmtId="0" fontId="2" fillId="0" borderId="7" xfId="0" applyFont="1" applyBorder="1"/>
    <xf numFmtId="10" fontId="9" fillId="0" borderId="6" xfId="6" applyNumberFormat="1" applyFont="1" applyFill="1" applyBorder="1"/>
    <xf numFmtId="2" fontId="9" fillId="0" borderId="0" xfId="6" applyNumberFormat="1" applyFont="1" applyFill="1" applyBorder="1"/>
    <xf numFmtId="4" fontId="9" fillId="0" borderId="0" xfId="5" applyNumberFormat="1" applyFont="1"/>
    <xf numFmtId="10" fontId="9" fillId="0" borderId="8" xfId="6" applyNumberFormat="1" applyFont="1" applyFill="1" applyBorder="1"/>
    <xf numFmtId="2" fontId="9" fillId="0" borderId="9" xfId="6" applyNumberFormat="1" applyFont="1" applyFill="1" applyBorder="1"/>
    <xf numFmtId="0" fontId="2" fillId="0" borderId="14" xfId="0" applyFont="1" applyBorder="1" applyAlignment="1">
      <alignment horizontal="right"/>
    </xf>
    <xf numFmtId="0" fontId="2" fillId="0" borderId="14" xfId="0" applyFont="1" applyBorder="1"/>
    <xf numFmtId="0" fontId="2" fillId="0" borderId="9" xfId="0" applyFont="1" applyBorder="1" applyProtection="1">
      <protection locked="0"/>
    </xf>
    <xf numFmtId="0" fontId="2" fillId="0" borderId="10" xfId="0" applyFont="1" applyBorder="1" applyProtection="1">
      <protection locked="0"/>
    </xf>
    <xf numFmtId="0" fontId="2" fillId="0" borderId="5" xfId="0" applyFont="1" applyBorder="1" applyProtection="1">
      <protection locked="0"/>
    </xf>
    <xf numFmtId="0" fontId="2" fillId="0" borderId="4" xfId="0" applyFont="1" applyBorder="1" applyProtection="1">
      <protection locked="0"/>
    </xf>
    <xf numFmtId="171" fontId="2" fillId="0" borderId="1" xfId="0" applyNumberFormat="1" applyFont="1" applyBorder="1" applyAlignment="1">
      <alignment horizontal="right"/>
    </xf>
    <xf numFmtId="0" fontId="2" fillId="0" borderId="2" xfId="0" applyFont="1" applyBorder="1" applyAlignment="1">
      <alignment horizontal="right"/>
    </xf>
    <xf numFmtId="37" fontId="9" fillId="0" borderId="4" xfId="0" applyNumberFormat="1" applyFont="1" applyBorder="1" applyAlignment="1">
      <alignment horizontal="right"/>
    </xf>
    <xf numFmtId="0" fontId="2" fillId="0" borderId="10" xfId="0" applyFont="1" applyBorder="1"/>
    <xf numFmtId="167" fontId="2" fillId="0" borderId="0" xfId="0" applyNumberFormat="1" applyFont="1"/>
    <xf numFmtId="0" fontId="2" fillId="0" borderId="3" xfId="0" applyFont="1" applyBorder="1" applyAlignment="1">
      <alignment horizontal="center"/>
    </xf>
    <xf numFmtId="0" fontId="2" fillId="0" borderId="6" xfId="0" applyFont="1" applyBorder="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2" fillId="0" borderId="0" xfId="0" applyFont="1" applyAlignment="1">
      <alignment horizontal="left"/>
    </xf>
    <xf numFmtId="0" fontId="3" fillId="0" borderId="0" xfId="0" applyFont="1" applyAlignment="1">
      <alignment horizontal="left"/>
    </xf>
    <xf numFmtId="0" fontId="8" fillId="0" borderId="0" xfId="0" applyFont="1" applyAlignment="1">
      <alignment horizontal="left"/>
    </xf>
    <xf numFmtId="0" fontId="10" fillId="0" borderId="0" xfId="0" applyFont="1" applyAlignment="1">
      <alignment horizontal="left"/>
    </xf>
    <xf numFmtId="0" fontId="12" fillId="0" borderId="0" xfId="0" applyFont="1"/>
    <xf numFmtId="43" fontId="13" fillId="0" borderId="0" xfId="1" applyFont="1" applyBorder="1"/>
    <xf numFmtId="165" fontId="13" fillId="0" borderId="7" xfId="1" applyNumberFormat="1" applyFont="1" applyFill="1" applyBorder="1"/>
    <xf numFmtId="0" fontId="13" fillId="0" borderId="5" xfId="0" applyFont="1" applyBorder="1" applyAlignment="1">
      <alignment horizontal="right"/>
    </xf>
    <xf numFmtId="10" fontId="13" fillId="0" borderId="7" xfId="2" applyNumberFormat="1" applyFont="1" applyFill="1" applyBorder="1" applyAlignment="1">
      <alignment horizontal="right"/>
    </xf>
    <xf numFmtId="3" fontId="13" fillId="0" borderId="7" xfId="5" applyNumberFormat="1" applyFont="1" applyBorder="1" applyAlignment="1">
      <alignment horizontal="right"/>
    </xf>
    <xf numFmtId="39" fontId="13" fillId="0" borderId="7" xfId="1" applyNumberFormat="1" applyFont="1" applyFill="1" applyBorder="1" applyAlignment="1">
      <alignment horizontal="right"/>
    </xf>
    <xf numFmtId="9" fontId="13" fillId="0" borderId="10" xfId="2" applyFont="1" applyFill="1" applyBorder="1"/>
    <xf numFmtId="43" fontId="13" fillId="0" borderId="0" xfId="1" applyFont="1" applyFill="1" applyBorder="1"/>
    <xf numFmtId="43" fontId="13" fillId="0" borderId="9" xfId="1" applyFont="1" applyFill="1" applyBorder="1"/>
    <xf numFmtId="10" fontId="13" fillId="0" borderId="0" xfId="2" applyNumberFormat="1" applyFont="1" applyFill="1" applyBorder="1"/>
    <xf numFmtId="10" fontId="13" fillId="0" borderId="9" xfId="2" applyNumberFormat="1" applyFont="1" applyFill="1" applyBorder="1"/>
    <xf numFmtId="164" fontId="13" fillId="0" borderId="0" xfId="2" applyNumberFormat="1" applyFont="1" applyFill="1" applyBorder="1"/>
    <xf numFmtId="43" fontId="13" fillId="0" borderId="7" xfId="1" applyFont="1" applyFill="1" applyBorder="1"/>
    <xf numFmtId="164" fontId="13" fillId="0" borderId="9" xfId="2" applyNumberFormat="1" applyFont="1" applyFill="1" applyBorder="1"/>
    <xf numFmtId="43" fontId="13" fillId="0" borderId="10" xfId="1" applyFont="1" applyFill="1" applyBorder="1"/>
    <xf numFmtId="169" fontId="13" fillId="0" borderId="0" xfId="2" applyNumberFormat="1" applyFont="1" applyFill="1" applyBorder="1"/>
    <xf numFmtId="2" fontId="13" fillId="0" borderId="0" xfId="2" applyNumberFormat="1" applyFont="1" applyFill="1" applyBorder="1"/>
    <xf numFmtId="2" fontId="13" fillId="0" borderId="0" xfId="3" applyNumberFormat="1" applyFont="1" applyFill="1" applyBorder="1"/>
    <xf numFmtId="169" fontId="13" fillId="0" borderId="0" xfId="0" applyNumberFormat="1" applyFont="1"/>
    <xf numFmtId="169" fontId="13" fillId="0" borderId="7" xfId="2" applyNumberFormat="1" applyFont="1" applyFill="1" applyBorder="1"/>
    <xf numFmtId="169" fontId="13" fillId="0" borderId="9" xfId="2" applyNumberFormat="1" applyFont="1" applyFill="1" applyBorder="1"/>
    <xf numFmtId="2" fontId="13" fillId="0" borderId="9" xfId="2" applyNumberFormat="1" applyFont="1" applyFill="1" applyBorder="1"/>
    <xf numFmtId="2" fontId="13" fillId="0" borderId="9" xfId="3" applyNumberFormat="1" applyFont="1" applyFill="1" applyBorder="1"/>
    <xf numFmtId="169" fontId="13" fillId="0" borderId="9" xfId="0" applyNumberFormat="1" applyFont="1" applyBorder="1"/>
    <xf numFmtId="169" fontId="13" fillId="0" borderId="10" xfId="2" applyNumberFormat="1" applyFont="1" applyFill="1" applyBorder="1"/>
    <xf numFmtId="0" fontId="9" fillId="0" borderId="3" xfId="0" applyFont="1" applyBorder="1" applyAlignment="1">
      <alignment horizontal="center"/>
    </xf>
    <xf numFmtId="0" fontId="9" fillId="0" borderId="5" xfId="0" applyFont="1" applyBorder="1" applyAlignment="1">
      <alignment horizontal="center"/>
    </xf>
    <xf numFmtId="0" fontId="9" fillId="0" borderId="8" xfId="0" applyFont="1" applyBorder="1" applyAlignment="1">
      <alignment horizontal="center"/>
    </xf>
    <xf numFmtId="0" fontId="9" fillId="0" borderId="10" xfId="0" applyFont="1" applyBorder="1" applyAlignment="1">
      <alignment horizontal="center"/>
    </xf>
    <xf numFmtId="0" fontId="1" fillId="0" borderId="0" xfId="0" applyFont="1"/>
    <xf numFmtId="0" fontId="14" fillId="0" borderId="0" xfId="8" applyFont="1"/>
    <xf numFmtId="0" fontId="9" fillId="0" borderId="0" xfId="8" applyFont="1"/>
    <xf numFmtId="0" fontId="8" fillId="0" borderId="0" xfId="8" applyFont="1"/>
    <xf numFmtId="0" fontId="13" fillId="0" borderId="0" xfId="8" applyFont="1"/>
    <xf numFmtId="0" fontId="9" fillId="0" borderId="0" xfId="8" quotePrefix="1" applyFont="1"/>
    <xf numFmtId="0" fontId="1" fillId="0" borderId="0" xfId="0" applyFont="1" applyAlignment="1">
      <alignment horizontal="center"/>
    </xf>
    <xf numFmtId="0" fontId="1" fillId="0" borderId="0" xfId="0" applyFont="1" applyAlignment="1">
      <alignment horizontal="right"/>
    </xf>
    <xf numFmtId="166" fontId="1" fillId="0" borderId="0" xfId="1" applyNumberFormat="1" applyFont="1"/>
    <xf numFmtId="165" fontId="1" fillId="0" borderId="0" xfId="1" applyNumberFormat="1" applyFont="1"/>
    <xf numFmtId="167" fontId="1" fillId="0" borderId="0" xfId="0" applyNumberFormat="1" applyFont="1"/>
    <xf numFmtId="9" fontId="1" fillId="0" borderId="0" xfId="2" applyFont="1"/>
    <xf numFmtId="43" fontId="1" fillId="0" borderId="0" xfId="1" applyFont="1"/>
    <xf numFmtId="165" fontId="1" fillId="0" borderId="0" xfId="0" applyNumberFormat="1" applyFont="1"/>
    <xf numFmtId="2" fontId="1" fillId="0" borderId="0" xfId="0" applyNumberFormat="1" applyFont="1"/>
    <xf numFmtId="43" fontId="1" fillId="0" borderId="0" xfId="0" applyNumberFormat="1" applyFont="1"/>
    <xf numFmtId="164" fontId="1" fillId="0" borderId="0" xfId="2" applyNumberFormat="1" applyFont="1"/>
    <xf numFmtId="168" fontId="1" fillId="0" borderId="0" xfId="0" applyNumberFormat="1" applyFont="1"/>
    <xf numFmtId="0" fontId="1" fillId="0" borderId="3" xfId="0" applyFont="1" applyBorder="1" applyAlignment="1">
      <alignment horizontal="center"/>
    </xf>
    <xf numFmtId="0" fontId="1" fillId="0" borderId="5" xfId="0" applyFont="1" applyBorder="1" applyAlignment="1">
      <alignment horizontal="center"/>
    </xf>
    <xf numFmtId="0" fontId="1" fillId="0" borderId="8" xfId="0" applyFont="1" applyBorder="1" applyAlignment="1">
      <alignment horizontal="center"/>
    </xf>
    <xf numFmtId="0" fontId="1" fillId="0" borderId="10" xfId="0" applyFont="1" applyBorder="1" applyAlignment="1">
      <alignment horizontal="center"/>
    </xf>
    <xf numFmtId="0" fontId="1" fillId="0" borderId="1" xfId="0" quotePrefix="1" applyFont="1" applyBorder="1" applyAlignment="1">
      <alignment horizontal="center"/>
    </xf>
    <xf numFmtId="0" fontId="1" fillId="0" borderId="0" xfId="0" applyFont="1" applyAlignment="1">
      <alignment wrapText="1"/>
    </xf>
    <xf numFmtId="0" fontId="1" fillId="0" borderId="2" xfId="0" applyFont="1" applyBorder="1" applyAlignment="1">
      <alignment horizontal="right" wrapText="1"/>
    </xf>
    <xf numFmtId="0" fontId="1" fillId="0" borderId="3" xfId="0" applyFont="1" applyBorder="1" applyAlignment="1">
      <alignment horizontal="right"/>
    </xf>
    <xf numFmtId="0" fontId="1" fillId="0" borderId="4" xfId="0" applyFont="1" applyBorder="1"/>
    <xf numFmtId="0" fontId="1" fillId="0" borderId="5" xfId="0" applyFont="1" applyBorder="1"/>
    <xf numFmtId="0" fontId="1" fillId="0" borderId="6" xfId="0" applyFont="1" applyBorder="1" applyAlignment="1">
      <alignment horizontal="right"/>
    </xf>
    <xf numFmtId="10" fontId="1" fillId="0" borderId="0" xfId="0" applyNumberFormat="1" applyFont="1"/>
    <xf numFmtId="169" fontId="1" fillId="0" borderId="0" xfId="0" applyNumberFormat="1" applyFont="1"/>
    <xf numFmtId="10" fontId="1" fillId="0" borderId="0" xfId="2" applyNumberFormat="1" applyFont="1" applyBorder="1"/>
    <xf numFmtId="43" fontId="1" fillId="0" borderId="0" xfId="1" applyFont="1" applyBorder="1"/>
    <xf numFmtId="43" fontId="1" fillId="0" borderId="7" xfId="0" applyNumberFormat="1" applyFont="1" applyBorder="1"/>
    <xf numFmtId="0" fontId="1" fillId="0" borderId="8" xfId="0" applyFont="1" applyBorder="1" applyAlignment="1">
      <alignment horizontal="right"/>
    </xf>
    <xf numFmtId="43" fontId="1" fillId="0" borderId="9" xfId="0" applyNumberFormat="1" applyFont="1" applyBorder="1"/>
    <xf numFmtId="10" fontId="1" fillId="0" borderId="9" xfId="0" applyNumberFormat="1" applyFont="1" applyBorder="1"/>
    <xf numFmtId="2" fontId="1" fillId="0" borderId="9" xfId="0" applyNumberFormat="1" applyFont="1" applyBorder="1"/>
    <xf numFmtId="169" fontId="1" fillId="0" borderId="9" xfId="0" applyNumberFormat="1" applyFont="1" applyBorder="1"/>
    <xf numFmtId="10" fontId="1" fillId="0" borderId="9" xfId="2" applyNumberFormat="1" applyFont="1" applyBorder="1"/>
    <xf numFmtId="43" fontId="1" fillId="0" borderId="9" xfId="1" applyFont="1" applyBorder="1"/>
    <xf numFmtId="43" fontId="1" fillId="0" borderId="10" xfId="0" applyNumberFormat="1" applyFont="1" applyBorder="1"/>
    <xf numFmtId="0" fontId="1" fillId="0" borderId="0" xfId="0" applyFont="1" applyAlignment="1">
      <alignment horizontal="right" wrapText="1"/>
    </xf>
    <xf numFmtId="0" fontId="1" fillId="0" borderId="15" xfId="0" applyFont="1" applyBorder="1" applyAlignment="1">
      <alignment horizontal="right" wrapText="1"/>
    </xf>
    <xf numFmtId="166" fontId="1" fillId="0" borderId="0" xfId="1" applyNumberFormat="1" applyFont="1" applyBorder="1"/>
    <xf numFmtId="0" fontId="1" fillId="0" borderId="7" xfId="0" applyFont="1" applyBorder="1"/>
    <xf numFmtId="43" fontId="1" fillId="0" borderId="7" xfId="1" applyFont="1" applyBorder="1"/>
    <xf numFmtId="0" fontId="1" fillId="0" borderId="9" xfId="0" applyFont="1" applyBorder="1"/>
    <xf numFmtId="166" fontId="1" fillId="0" borderId="9" xfId="1" applyNumberFormat="1" applyFont="1" applyBorder="1"/>
    <xf numFmtId="168" fontId="1" fillId="0" borderId="9" xfId="0" applyNumberFormat="1" applyFont="1" applyBorder="1"/>
    <xf numFmtId="43" fontId="1" fillId="0" borderId="10" xfId="1" applyFont="1" applyBorder="1"/>
    <xf numFmtId="9" fontId="1" fillId="0" borderId="0" xfId="0" applyNumberFormat="1" applyFont="1"/>
    <xf numFmtId="0" fontId="1" fillId="0" borderId="25" xfId="0" applyFont="1" applyBorder="1" applyAlignment="1">
      <alignment horizontal="center"/>
    </xf>
    <xf numFmtId="0" fontId="1" fillId="0" borderId="3" xfId="0" quotePrefix="1" applyFont="1" applyBorder="1" applyAlignment="1">
      <alignment horizontal="center"/>
    </xf>
    <xf numFmtId="0" fontId="1" fillId="0" borderId="25" xfId="0" quotePrefix="1" applyFont="1" applyBorder="1" applyAlignment="1">
      <alignment horizontal="center"/>
    </xf>
    <xf numFmtId="0" fontId="1" fillId="0" borderId="0" xfId="0" quotePrefix="1" applyFont="1" applyAlignment="1">
      <alignment horizontal="center"/>
    </xf>
    <xf numFmtId="0" fontId="1" fillId="0" borderId="8" xfId="0" applyFont="1" applyBorder="1" applyAlignment="1">
      <alignment horizontal="right" wrapText="1"/>
    </xf>
    <xf numFmtId="0" fontId="1" fillId="0" borderId="25" xfId="0" applyFont="1" applyBorder="1" applyAlignment="1">
      <alignment horizontal="right" wrapText="1"/>
    </xf>
    <xf numFmtId="0" fontId="1" fillId="0" borderId="3" xfId="0" applyFont="1" applyBorder="1"/>
    <xf numFmtId="43" fontId="1" fillId="0" borderId="4" xfId="1" applyFont="1" applyBorder="1"/>
    <xf numFmtId="10" fontId="1" fillId="0" borderId="4" xfId="1" applyNumberFormat="1" applyFont="1" applyBorder="1"/>
    <xf numFmtId="43" fontId="1" fillId="0" borderId="25" xfId="1" applyFont="1" applyBorder="1"/>
    <xf numFmtId="0" fontId="1" fillId="0" borderId="6" xfId="0" applyFont="1" applyBorder="1"/>
    <xf numFmtId="10" fontId="1" fillId="0" borderId="0" xfId="1" applyNumberFormat="1" applyFont="1" applyBorder="1"/>
    <xf numFmtId="0" fontId="1" fillId="0" borderId="8" xfId="0" applyFont="1" applyBorder="1"/>
    <xf numFmtId="10" fontId="1" fillId="0" borderId="9" xfId="1" applyNumberFormat="1" applyFont="1" applyBorder="1"/>
    <xf numFmtId="0" fontId="1" fillId="0" borderId="16" xfId="0" applyFont="1" applyBorder="1" applyAlignment="1">
      <alignment vertical="center" wrapText="1"/>
    </xf>
    <xf numFmtId="0" fontId="1" fillId="0" borderId="17" xfId="0" applyFont="1" applyBorder="1" applyAlignment="1">
      <alignment horizontal="center" vertical="center" wrapText="1"/>
    </xf>
    <xf numFmtId="0" fontId="1" fillId="0" borderId="18" xfId="0" applyFont="1" applyBorder="1" applyAlignment="1">
      <alignment vertical="center" wrapText="1"/>
    </xf>
    <xf numFmtId="0" fontId="13" fillId="0" borderId="19" xfId="0" applyFont="1" applyBorder="1" applyAlignment="1">
      <alignment horizontal="center" vertical="center" wrapText="1"/>
    </xf>
    <xf numFmtId="0" fontId="1" fillId="0" borderId="2" xfId="0" applyFont="1" applyBorder="1" applyAlignment="1">
      <alignment horizontal="center"/>
    </xf>
    <xf numFmtId="171" fontId="1" fillId="0" borderId="1" xfId="0" applyNumberFormat="1" applyFont="1" applyBorder="1" applyAlignment="1">
      <alignment horizontal="center"/>
    </xf>
    <xf numFmtId="0" fontId="1" fillId="0" borderId="14" xfId="0" applyFont="1" applyBorder="1" applyAlignment="1">
      <alignment horizontal="center" wrapText="1"/>
    </xf>
    <xf numFmtId="165" fontId="1" fillId="0" borderId="4" xfId="0" applyNumberFormat="1" applyFont="1" applyBorder="1"/>
    <xf numFmtId="167" fontId="1" fillId="0" borderId="4" xfId="0" applyNumberFormat="1" applyFont="1" applyBorder="1"/>
    <xf numFmtId="173" fontId="1" fillId="0" borderId="0" xfId="2" applyNumberFormat="1" applyFont="1" applyBorder="1"/>
    <xf numFmtId="0" fontId="1" fillId="0" borderId="11" xfId="0" applyFont="1" applyBorder="1"/>
    <xf numFmtId="43" fontId="1" fillId="0" borderId="12" xfId="1" applyFont="1" applyBorder="1"/>
    <xf numFmtId="165" fontId="1" fillId="0" borderId="12" xfId="0" applyNumberFormat="1" applyFont="1" applyBorder="1"/>
    <xf numFmtId="173" fontId="1" fillId="0" borderId="12" xfId="2" applyNumberFormat="1" applyFont="1" applyBorder="1"/>
    <xf numFmtId="0" fontId="1" fillId="0" borderId="13" xfId="0" applyFont="1" applyBorder="1"/>
    <xf numFmtId="0" fontId="1" fillId="0" borderId="2" xfId="0" applyFont="1" applyBorder="1" applyAlignment="1">
      <alignment horizontal="center" wrapText="1"/>
    </xf>
    <xf numFmtId="43" fontId="13" fillId="0" borderId="3" xfId="1" applyFont="1" applyBorder="1"/>
    <xf numFmtId="10" fontId="1" fillId="0" borderId="4" xfId="2" applyNumberFormat="1" applyFont="1" applyBorder="1"/>
    <xf numFmtId="169" fontId="1" fillId="0" borderId="4" xfId="2" applyNumberFormat="1" applyFont="1" applyBorder="1"/>
    <xf numFmtId="2" fontId="1" fillId="0" borderId="4" xfId="2" applyNumberFormat="1" applyFont="1" applyBorder="1"/>
    <xf numFmtId="169" fontId="1" fillId="0" borderId="4" xfId="0" applyNumberFormat="1" applyFont="1" applyBorder="1"/>
    <xf numFmtId="164" fontId="1" fillId="0" borderId="5" xfId="2" applyNumberFormat="1" applyFont="1" applyBorder="1"/>
    <xf numFmtId="0" fontId="1" fillId="0" borderId="6" xfId="0" applyFont="1" applyBorder="1" applyAlignment="1">
      <alignment horizontal="center"/>
    </xf>
    <xf numFmtId="43" fontId="13" fillId="0" borderId="6" xfId="1" applyFont="1" applyBorder="1"/>
    <xf numFmtId="169" fontId="1" fillId="0" borderId="0" xfId="2" applyNumberFormat="1" applyFont="1" applyBorder="1"/>
    <xf numFmtId="2" fontId="1" fillId="0" borderId="0" xfId="2" applyNumberFormat="1" applyFont="1" applyBorder="1"/>
    <xf numFmtId="164" fontId="1" fillId="0" borderId="7" xfId="2" applyNumberFormat="1" applyFont="1" applyBorder="1"/>
    <xf numFmtId="43" fontId="13" fillId="0" borderId="8" xfId="1" applyFont="1" applyBorder="1"/>
    <xf numFmtId="169" fontId="1" fillId="0" borderId="9" xfId="2" applyNumberFormat="1" applyFont="1" applyBorder="1"/>
    <xf numFmtId="2" fontId="1" fillId="0" borderId="9" xfId="2" applyNumberFormat="1" applyFont="1" applyBorder="1"/>
    <xf numFmtId="164" fontId="1" fillId="0" borderId="10" xfId="2" applyNumberFormat="1" applyFont="1" applyBorder="1"/>
    <xf numFmtId="166" fontId="1" fillId="0" borderId="4" xfId="1" applyNumberFormat="1" applyFont="1" applyBorder="1"/>
    <xf numFmtId="165" fontId="1" fillId="0" borderId="5" xfId="1" applyNumberFormat="1" applyFont="1" applyBorder="1"/>
    <xf numFmtId="165" fontId="1" fillId="0" borderId="0" xfId="1" applyNumberFormat="1" applyFont="1" applyBorder="1"/>
    <xf numFmtId="165" fontId="1" fillId="0" borderId="7" xfId="1" applyNumberFormat="1" applyFont="1" applyBorder="1"/>
    <xf numFmtId="165" fontId="1" fillId="0" borderId="9" xfId="1" applyNumberFormat="1" applyFont="1" applyBorder="1"/>
    <xf numFmtId="165" fontId="1" fillId="0" borderId="10" xfId="1" applyNumberFormat="1" applyFont="1" applyBorder="1"/>
    <xf numFmtId="170" fontId="1" fillId="0" borderId="0" xfId="1" applyNumberFormat="1" applyFont="1" applyBorder="1"/>
    <xf numFmtId="170" fontId="1" fillId="0" borderId="9" xfId="1" applyNumberFormat="1" applyFont="1" applyBorder="1"/>
    <xf numFmtId="171" fontId="1" fillId="0" borderId="5" xfId="0" applyNumberFormat="1" applyFont="1" applyBorder="1" applyAlignment="1">
      <alignment horizontal="center"/>
    </xf>
    <xf numFmtId="0" fontId="1" fillId="0" borderId="10" xfId="0" applyFont="1" applyBorder="1" applyAlignment="1">
      <alignment horizontal="center" wrapText="1"/>
    </xf>
    <xf numFmtId="164" fontId="1" fillId="0" borderId="0" xfId="2" applyNumberFormat="1" applyFont="1" applyBorder="1"/>
    <xf numFmtId="0" fontId="9" fillId="0" borderId="0" xfId="5" applyFont="1"/>
    <xf numFmtId="0" fontId="9" fillId="0" borderId="0" xfId="5" applyFont="1" applyAlignment="1">
      <alignment horizontal="center" vertical="center"/>
    </xf>
    <xf numFmtId="2" fontId="10" fillId="0" borderId="0" xfId="6" applyNumberFormat="1" applyFont="1" applyAlignment="1"/>
    <xf numFmtId="2" fontId="9" fillId="0" borderId="0" xfId="6" applyNumberFormat="1" applyFont="1"/>
    <xf numFmtId="20" fontId="8" fillId="0" borderId="0" xfId="5" applyNumberFormat="1" applyFont="1" applyAlignment="1">
      <alignment horizontal="center" wrapText="1"/>
    </xf>
    <xf numFmtId="10" fontId="9" fillId="0" borderId="11" xfId="6" applyNumberFormat="1" applyFont="1" applyBorder="1"/>
    <xf numFmtId="2" fontId="9" fillId="0" borderId="12" xfId="6" applyNumberFormat="1" applyFont="1" applyBorder="1"/>
    <xf numFmtId="2" fontId="9" fillId="0" borderId="12" xfId="6" applyNumberFormat="1" applyFont="1" applyBorder="1" applyAlignment="1">
      <alignment horizontal="right"/>
    </xf>
    <xf numFmtId="14" fontId="9" fillId="0" borderId="13" xfId="5" applyNumberFormat="1" applyFont="1" applyBorder="1" applyAlignment="1">
      <alignment horizontal="right"/>
    </xf>
    <xf numFmtId="0" fontId="8" fillId="0" borderId="0" xfId="5" applyFont="1" applyAlignment="1">
      <alignment vertical="top"/>
    </xf>
    <xf numFmtId="0" fontId="9" fillId="0" borderId="0" xfId="5" applyFont="1" applyAlignment="1">
      <alignment horizontal="center"/>
    </xf>
    <xf numFmtId="10" fontId="9" fillId="0" borderId="3" xfId="6" applyNumberFormat="1" applyFont="1" applyBorder="1"/>
    <xf numFmtId="2" fontId="9" fillId="0" borderId="4" xfId="6" applyNumberFormat="1" applyFont="1" applyBorder="1"/>
    <xf numFmtId="10" fontId="9" fillId="0" borderId="4" xfId="2" applyNumberFormat="1" applyFont="1" applyFill="1" applyBorder="1" applyAlignment="1">
      <alignment horizontal="right"/>
    </xf>
    <xf numFmtId="10" fontId="9" fillId="0" borderId="5" xfId="2" applyNumberFormat="1" applyFont="1" applyFill="1" applyBorder="1" applyAlignment="1">
      <alignment horizontal="right"/>
    </xf>
    <xf numFmtId="10" fontId="9" fillId="0" borderId="6" xfId="6" applyNumberFormat="1" applyFont="1" applyBorder="1"/>
    <xf numFmtId="2" fontId="9" fillId="0" borderId="0" xfId="6" applyNumberFormat="1" applyFont="1" applyBorder="1"/>
    <xf numFmtId="10" fontId="9" fillId="0" borderId="0" xfId="2" applyNumberFormat="1" applyFont="1" applyFill="1" applyBorder="1" applyAlignment="1">
      <alignment horizontal="right"/>
    </xf>
    <xf numFmtId="165" fontId="9" fillId="0" borderId="0" xfId="1" applyNumberFormat="1" applyFont="1" applyFill="1" applyBorder="1" applyAlignment="1">
      <alignment horizontal="right"/>
    </xf>
    <xf numFmtId="170" fontId="9" fillId="0" borderId="0" xfId="1" applyNumberFormat="1" applyFont="1" applyFill="1" applyBorder="1" applyAlignment="1">
      <alignment horizontal="right"/>
    </xf>
    <xf numFmtId="4" fontId="9" fillId="0" borderId="7" xfId="5" applyNumberFormat="1" applyFont="1" applyBorder="1" applyAlignment="1">
      <alignment horizontal="left"/>
    </xf>
    <xf numFmtId="175" fontId="13" fillId="0" borderId="0" xfId="1" applyNumberFormat="1" applyFont="1" applyFill="1" applyBorder="1" applyAlignment="1">
      <alignment horizontal="right"/>
    </xf>
    <xf numFmtId="43" fontId="9" fillId="0" borderId="0" xfId="1" applyFont="1" applyFill="1" applyBorder="1" applyAlignment="1">
      <alignment horizontal="right"/>
    </xf>
    <xf numFmtId="169" fontId="13" fillId="0" borderId="0" xfId="5" applyNumberFormat="1" applyFont="1" applyAlignment="1">
      <alignment horizontal="right"/>
    </xf>
    <xf numFmtId="169" fontId="9" fillId="0" borderId="7" xfId="5" applyNumberFormat="1" applyFont="1" applyBorder="1" applyAlignment="1">
      <alignment horizontal="right"/>
    </xf>
    <xf numFmtId="169" fontId="9" fillId="0" borderId="0" xfId="5" applyNumberFormat="1" applyFont="1" applyAlignment="1">
      <alignment horizontal="right"/>
    </xf>
    <xf numFmtId="3" fontId="9" fillId="0" borderId="0" xfId="5" applyNumberFormat="1" applyFont="1"/>
    <xf numFmtId="178" fontId="9" fillId="0" borderId="7" xfId="5" applyNumberFormat="1" applyFont="1" applyBorder="1" applyAlignment="1">
      <alignment horizontal="right"/>
    </xf>
    <xf numFmtId="3" fontId="13" fillId="0" borderId="0" xfId="5" applyNumberFormat="1" applyFont="1"/>
    <xf numFmtId="14" fontId="9" fillId="0" borderId="7" xfId="5" applyNumberFormat="1" applyFont="1" applyBorder="1" applyAlignment="1">
      <alignment horizontal="right"/>
    </xf>
    <xf numFmtId="20" fontId="8" fillId="0" borderId="0" xfId="5" applyNumberFormat="1" applyFont="1" applyAlignment="1">
      <alignment horizontal="center" vertical="top" wrapText="1"/>
    </xf>
    <xf numFmtId="4" fontId="9" fillId="0" borderId="6" xfId="5" applyNumberFormat="1" applyFont="1" applyBorder="1"/>
    <xf numFmtId="176" fontId="9" fillId="0" borderId="0" xfId="5" applyNumberFormat="1" applyFont="1"/>
    <xf numFmtId="176" fontId="9" fillId="0" borderId="7" xfId="5" applyNumberFormat="1" applyFont="1" applyBorder="1"/>
    <xf numFmtId="174" fontId="9" fillId="0" borderId="0" xfId="5" applyNumberFormat="1" applyFont="1"/>
    <xf numFmtId="174" fontId="9" fillId="0" borderId="7" xfId="5" applyNumberFormat="1" applyFont="1" applyBorder="1"/>
    <xf numFmtId="4" fontId="9" fillId="0" borderId="7" xfId="5" applyNumberFormat="1" applyFont="1" applyBorder="1"/>
    <xf numFmtId="181" fontId="9" fillId="0" borderId="0" xfId="5" applyNumberFormat="1" applyFont="1"/>
    <xf numFmtId="43" fontId="8" fillId="0" borderId="0" xfId="1" quotePrefix="1" applyFont="1" applyFill="1" applyBorder="1" applyAlignment="1"/>
    <xf numFmtId="0" fontId="9" fillId="0" borderId="7" xfId="5" quotePrefix="1" applyFont="1" applyBorder="1"/>
    <xf numFmtId="10" fontId="9" fillId="0" borderId="8" xfId="6" applyNumberFormat="1" applyFont="1" applyBorder="1"/>
    <xf numFmtId="2" fontId="9" fillId="0" borderId="9" xfId="6" applyNumberFormat="1" applyFont="1" applyBorder="1"/>
    <xf numFmtId="43" fontId="8" fillId="0" borderId="9" xfId="1" quotePrefix="1" applyFont="1" applyFill="1" applyBorder="1" applyAlignment="1"/>
    <xf numFmtId="0" fontId="9" fillId="0" borderId="10" xfId="5" applyFont="1" applyBorder="1"/>
    <xf numFmtId="0" fontId="9" fillId="0" borderId="4" xfId="5" applyFont="1" applyBorder="1"/>
    <xf numFmtId="175" fontId="9" fillId="0" borderId="0" xfId="7" applyNumberFormat="1" applyFont="1" applyBorder="1"/>
    <xf numFmtId="10" fontId="9" fillId="0" borderId="0" xfId="6" applyNumberFormat="1" applyFont="1"/>
    <xf numFmtId="43" fontId="8" fillId="0" borderId="0" xfId="1" quotePrefix="1" applyFont="1"/>
    <xf numFmtId="175" fontId="9" fillId="0" borderId="0" xfId="7" applyNumberFormat="1" applyFont="1"/>
    <xf numFmtId="43" fontId="9" fillId="0" borderId="0" xfId="1" applyFont="1"/>
    <xf numFmtId="169" fontId="9" fillId="0" borderId="0" xfId="6" applyNumberFormat="1" applyFont="1"/>
    <xf numFmtId="0" fontId="9" fillId="0" borderId="0" xfId="5" applyFont="1" applyAlignment="1">
      <alignment horizontal="left" vertical="center"/>
    </xf>
    <xf numFmtId="1" fontId="13" fillId="0" borderId="0" xfId="5" applyNumberFormat="1" applyFont="1" applyAlignment="1">
      <alignment horizontal="right"/>
    </xf>
    <xf numFmtId="0" fontId="9" fillId="0" borderId="0" xfId="5" applyFont="1" applyAlignment="1">
      <alignment vertical="top"/>
    </xf>
    <xf numFmtId="169" fontId="9" fillId="0" borderId="7" xfId="5" applyNumberFormat="1" applyFont="1" applyBorder="1" applyAlignment="1">
      <alignment horizontal="left"/>
    </xf>
    <xf numFmtId="3" fontId="13" fillId="0" borderId="9" xfId="5" applyNumberFormat="1" applyFont="1" applyBorder="1"/>
    <xf numFmtId="4" fontId="9" fillId="0" borderId="10" xfId="5" applyNumberFormat="1" applyFont="1" applyBorder="1" applyAlignment="1">
      <alignment horizontal="right"/>
    </xf>
    <xf numFmtId="10" fontId="9" fillId="0" borderId="12" xfId="6" applyNumberFormat="1" applyFont="1" applyBorder="1"/>
    <xf numFmtId="10" fontId="9" fillId="0" borderId="13" xfId="6" applyNumberFormat="1" applyFont="1" applyBorder="1"/>
    <xf numFmtId="2" fontId="9" fillId="0" borderId="3" xfId="6" applyNumberFormat="1" applyFont="1" applyBorder="1" applyAlignment="1">
      <alignment horizontal="center" wrapText="1"/>
    </xf>
    <xf numFmtId="14" fontId="9" fillId="0" borderId="1" xfId="5" applyNumberFormat="1" applyFont="1" applyBorder="1" applyAlignment="1">
      <alignment horizontal="center" wrapText="1"/>
    </xf>
    <xf numFmtId="2" fontId="9" fillId="0" borderId="11" xfId="6" applyNumberFormat="1" applyFont="1" applyBorder="1" applyAlignment="1">
      <alignment horizontal="right"/>
    </xf>
    <xf numFmtId="14" fontId="9" fillId="0" borderId="15" xfId="5" applyNumberFormat="1" applyFont="1" applyBorder="1" applyAlignment="1">
      <alignment horizontal="right"/>
    </xf>
    <xf numFmtId="10" fontId="9" fillId="0" borderId="3" xfId="2" applyNumberFormat="1" applyFont="1" applyFill="1" applyBorder="1" applyAlignment="1">
      <alignment horizontal="center"/>
    </xf>
    <xf numFmtId="10" fontId="9" fillId="0" borderId="1" xfId="2" applyNumberFormat="1" applyFont="1" applyFill="1" applyBorder="1" applyAlignment="1">
      <alignment horizontal="center"/>
    </xf>
    <xf numFmtId="10" fontId="9" fillId="0" borderId="6" xfId="2" applyNumberFormat="1" applyFont="1" applyFill="1" applyBorder="1" applyAlignment="1">
      <alignment horizontal="center"/>
    </xf>
    <xf numFmtId="10" fontId="9" fillId="0" borderId="14" xfId="2" applyNumberFormat="1" applyFont="1" applyFill="1" applyBorder="1" applyAlignment="1">
      <alignment horizontal="center"/>
    </xf>
    <xf numFmtId="166" fontId="9" fillId="0" borderId="6" xfId="1" applyNumberFormat="1" applyFont="1" applyFill="1" applyBorder="1" applyAlignment="1">
      <alignment vertical="center"/>
    </xf>
    <xf numFmtId="166" fontId="9" fillId="0" borderId="14" xfId="1" applyNumberFormat="1" applyFont="1" applyBorder="1" applyAlignment="1">
      <alignment horizontal="right"/>
    </xf>
    <xf numFmtId="166" fontId="9" fillId="0" borderId="6" xfId="1" applyNumberFormat="1" applyFont="1" applyBorder="1"/>
    <xf numFmtId="165" fontId="9" fillId="0" borderId="6" xfId="1" applyNumberFormat="1" applyFont="1" applyFill="1" applyBorder="1" applyAlignment="1">
      <alignment horizontal="right"/>
    </xf>
    <xf numFmtId="4" fontId="9" fillId="0" borderId="14" xfId="5" applyNumberFormat="1" applyFont="1" applyBorder="1" applyAlignment="1">
      <alignment horizontal="right"/>
    </xf>
    <xf numFmtId="0" fontId="9" fillId="0" borderId="11" xfId="5" applyFont="1" applyBorder="1"/>
    <xf numFmtId="0" fontId="9" fillId="0" borderId="12" xfId="5" applyFont="1" applyBorder="1"/>
    <xf numFmtId="0" fontId="9" fillId="0" borderId="15" xfId="5" applyFont="1" applyBorder="1"/>
    <xf numFmtId="176" fontId="9" fillId="0" borderId="6" xfId="5" applyNumberFormat="1" applyFont="1" applyBorder="1"/>
    <xf numFmtId="176" fontId="9" fillId="0" borderId="14" xfId="5" applyNumberFormat="1" applyFont="1" applyBorder="1"/>
    <xf numFmtId="0" fontId="9" fillId="0" borderId="6" xfId="5" applyFont="1" applyBorder="1"/>
    <xf numFmtId="174" fontId="9" fillId="0" borderId="6" xfId="5" applyNumberFormat="1" applyFont="1" applyBorder="1"/>
    <xf numFmtId="174" fontId="9" fillId="0" borderId="14" xfId="5" applyNumberFormat="1" applyFont="1" applyBorder="1"/>
    <xf numFmtId="4" fontId="9" fillId="0" borderId="14" xfId="5" applyNumberFormat="1" applyFont="1" applyBorder="1"/>
    <xf numFmtId="4" fontId="9" fillId="0" borderId="3" xfId="5" applyNumberFormat="1" applyFont="1" applyBorder="1"/>
    <xf numFmtId="181" fontId="9" fillId="0" borderId="4" xfId="5" applyNumberFormat="1" applyFont="1" applyBorder="1"/>
    <xf numFmtId="4" fontId="9" fillId="0" borderId="5" xfId="5" applyNumberFormat="1" applyFont="1" applyBorder="1"/>
    <xf numFmtId="172" fontId="9" fillId="0" borderId="0" xfId="1" quotePrefix="1" applyNumberFormat="1" applyFont="1" applyFill="1" applyBorder="1" applyAlignment="1"/>
    <xf numFmtId="172" fontId="9" fillId="0" borderId="9" xfId="1" quotePrefix="1" applyNumberFormat="1" applyFont="1" applyFill="1" applyBorder="1" applyAlignment="1"/>
    <xf numFmtId="165" fontId="1" fillId="0" borderId="0" xfId="1" applyNumberFormat="1" applyFont="1" applyFill="1"/>
    <xf numFmtId="165" fontId="1" fillId="0" borderId="7" xfId="1" applyNumberFormat="1" applyFont="1" applyFill="1" applyBorder="1"/>
    <xf numFmtId="165" fontId="1" fillId="0" borderId="10" xfId="1" applyNumberFormat="1" applyFont="1" applyFill="1" applyBorder="1"/>
    <xf numFmtId="10" fontId="1" fillId="0" borderId="0" xfId="2" applyNumberFormat="1" applyFont="1" applyFill="1"/>
    <xf numFmtId="37" fontId="1" fillId="0" borderId="4" xfId="0" applyNumberFormat="1" applyFont="1" applyBorder="1" applyAlignment="1">
      <alignment horizontal="right"/>
    </xf>
    <xf numFmtId="37" fontId="1" fillId="0" borderId="5" xfId="0" applyNumberFormat="1" applyFont="1" applyBorder="1" applyAlignment="1">
      <alignment horizontal="right"/>
    </xf>
    <xf numFmtId="0" fontId="1" fillId="0" borderId="7" xfId="0" applyFont="1" applyBorder="1" applyAlignment="1">
      <alignment horizontal="right"/>
    </xf>
    <xf numFmtId="0" fontId="1" fillId="0" borderId="9" xfId="0" applyFont="1" applyBorder="1" applyAlignment="1">
      <alignment horizontal="right"/>
    </xf>
    <xf numFmtId="0" fontId="1" fillId="0" borderId="10" xfId="0" applyFont="1" applyBorder="1" applyAlignment="1">
      <alignment horizontal="right"/>
    </xf>
    <xf numFmtId="10" fontId="1" fillId="0" borderId="0" xfId="2" applyNumberFormat="1" applyFont="1" applyFill="1" applyBorder="1"/>
    <xf numFmtId="2" fontId="1" fillId="0" borderId="0" xfId="2" applyNumberFormat="1" applyFont="1" applyFill="1" applyBorder="1"/>
    <xf numFmtId="169" fontId="1" fillId="0" borderId="0" xfId="2" applyNumberFormat="1" applyFont="1" applyFill="1" applyBorder="1"/>
    <xf numFmtId="164" fontId="1" fillId="0" borderId="7" xfId="2" applyNumberFormat="1" applyFont="1" applyFill="1" applyBorder="1"/>
    <xf numFmtId="10" fontId="1" fillId="0" borderId="9" xfId="2" applyNumberFormat="1" applyFont="1" applyFill="1" applyBorder="1"/>
    <xf numFmtId="2" fontId="1" fillId="0" borderId="9" xfId="2" applyNumberFormat="1" applyFont="1" applyFill="1" applyBorder="1"/>
    <xf numFmtId="169" fontId="1" fillId="0" borderId="9" xfId="2" applyNumberFormat="1" applyFont="1" applyFill="1" applyBorder="1"/>
    <xf numFmtId="164" fontId="1" fillId="0" borderId="10" xfId="2" applyNumberFormat="1" applyFont="1" applyFill="1" applyBorder="1"/>
    <xf numFmtId="177" fontId="1" fillId="0" borderId="0" xfId="0" applyNumberFormat="1" applyFont="1"/>
    <xf numFmtId="179" fontId="1" fillId="0" borderId="0" xfId="0" applyNumberFormat="1" applyFont="1"/>
    <xf numFmtId="8" fontId="1" fillId="0" borderId="0" xfId="0" applyNumberFormat="1" applyFont="1"/>
    <xf numFmtId="0" fontId="1" fillId="0" borderId="1" xfId="0" applyFont="1" applyBorder="1" applyAlignment="1">
      <alignment horizontal="center"/>
    </xf>
    <xf numFmtId="41" fontId="1" fillId="0" borderId="1" xfId="0" applyNumberFormat="1" applyFont="1" applyBorder="1" applyAlignment="1">
      <alignment horizontal="center"/>
    </xf>
    <xf numFmtId="0" fontId="1" fillId="0" borderId="14" xfId="0" applyFont="1" applyBorder="1" applyAlignment="1">
      <alignment horizontal="center"/>
    </xf>
    <xf numFmtId="0" fontId="1" fillId="0" borderId="4" xfId="0" applyFont="1" applyBorder="1" applyProtection="1">
      <protection locked="0"/>
    </xf>
    <xf numFmtId="0" fontId="1" fillId="0" borderId="5" xfId="0" applyFont="1" applyBorder="1" applyProtection="1">
      <protection locked="0"/>
    </xf>
    <xf numFmtId="171" fontId="1" fillId="0" borderId="5" xfId="0" applyNumberFormat="1" applyFont="1" applyBorder="1"/>
    <xf numFmtId="171" fontId="1" fillId="0" borderId="1" xfId="0" applyNumberFormat="1" applyFont="1" applyBorder="1"/>
    <xf numFmtId="0" fontId="1" fillId="0" borderId="14" xfId="0" applyFont="1" applyBorder="1"/>
    <xf numFmtId="0" fontId="1" fillId="0" borderId="14" xfId="0" applyFont="1" applyBorder="1" applyAlignment="1">
      <alignment horizontal="right"/>
    </xf>
    <xf numFmtId="0" fontId="1" fillId="0" borderId="2" xfId="0" applyFont="1" applyBorder="1" applyAlignment="1">
      <alignment horizontal="right"/>
    </xf>
    <xf numFmtId="167" fontId="1" fillId="0" borderId="7" xfId="0" applyNumberFormat="1" applyFont="1" applyBorder="1"/>
    <xf numFmtId="165" fontId="1" fillId="0" borderId="0" xfId="1" applyNumberFormat="1" applyFont="1" applyFill="1" applyBorder="1"/>
    <xf numFmtId="43" fontId="1" fillId="0" borderId="0" xfId="1" applyFont="1" applyFill="1" applyBorder="1"/>
    <xf numFmtId="165" fontId="1" fillId="0" borderId="0" xfId="1" applyNumberFormat="1" applyFont="1" applyFill="1" applyBorder="1" applyProtection="1"/>
    <xf numFmtId="165" fontId="1" fillId="0" borderId="7" xfId="0" applyNumberFormat="1" applyFont="1" applyBorder="1"/>
    <xf numFmtId="165" fontId="1" fillId="0" borderId="0" xfId="1" applyNumberFormat="1" applyFont="1" applyBorder="1" applyProtection="1"/>
    <xf numFmtId="0" fontId="1" fillId="0" borderId="10" xfId="0" applyFont="1" applyBorder="1"/>
    <xf numFmtId="167" fontId="1" fillId="0" borderId="5" xfId="0" applyNumberFormat="1" applyFont="1" applyBorder="1"/>
    <xf numFmtId="171" fontId="1" fillId="0" borderId="1" xfId="0" applyNumberFormat="1" applyFont="1" applyBorder="1" applyAlignment="1">
      <alignment horizontal="right"/>
    </xf>
    <xf numFmtId="165" fontId="1" fillId="0" borderId="14" xfId="1" applyNumberFormat="1" applyFont="1" applyBorder="1" applyAlignment="1">
      <alignment horizontal="right"/>
    </xf>
    <xf numFmtId="10" fontId="1" fillId="0" borderId="14" xfId="2" applyNumberFormat="1" applyFont="1" applyBorder="1" applyAlignment="1">
      <alignment horizontal="right"/>
    </xf>
    <xf numFmtId="10" fontId="1" fillId="0" borderId="14" xfId="0" applyNumberFormat="1" applyFont="1" applyBorder="1" applyAlignment="1">
      <alignment horizontal="right"/>
    </xf>
    <xf numFmtId="164" fontId="1" fillId="0" borderId="14" xfId="2" applyNumberFormat="1" applyFont="1" applyBorder="1" applyAlignment="1">
      <alignment horizontal="right"/>
    </xf>
    <xf numFmtId="164" fontId="1" fillId="0" borderId="14" xfId="0" applyNumberFormat="1" applyFont="1" applyBorder="1" applyAlignment="1">
      <alignment horizontal="right"/>
    </xf>
    <xf numFmtId="167" fontId="1" fillId="0" borderId="2" xfId="0" applyNumberFormat="1" applyFont="1" applyBorder="1" applyAlignment="1">
      <alignment horizontal="right"/>
    </xf>
    <xf numFmtId="165" fontId="1" fillId="0" borderId="3" xfId="0" applyNumberFormat="1" applyFont="1" applyBorder="1"/>
    <xf numFmtId="175" fontId="1" fillId="0" borderId="4" xfId="1" applyNumberFormat="1" applyFont="1" applyBorder="1"/>
    <xf numFmtId="165" fontId="1" fillId="0" borderId="4" xfId="1" applyNumberFormat="1" applyFont="1" applyBorder="1"/>
    <xf numFmtId="10" fontId="1" fillId="0" borderId="4" xfId="2" applyNumberFormat="1" applyFont="1" applyFill="1" applyBorder="1"/>
    <xf numFmtId="175" fontId="1" fillId="0" borderId="0" xfId="1" applyNumberFormat="1" applyFont="1" applyBorder="1"/>
    <xf numFmtId="167" fontId="1" fillId="3" borderId="0" xfId="0" applyNumberFormat="1" applyFont="1" applyFill="1"/>
    <xf numFmtId="0" fontId="1" fillId="3" borderId="0" xfId="0" applyFont="1" applyFill="1"/>
    <xf numFmtId="165" fontId="1" fillId="3" borderId="0" xfId="0" applyNumberFormat="1" applyFont="1" applyFill="1"/>
    <xf numFmtId="165" fontId="1" fillId="0" borderId="6" xfId="0" applyNumberFormat="1" applyFont="1" applyBorder="1"/>
    <xf numFmtId="165" fontId="1" fillId="0" borderId="9" xfId="1" applyNumberFormat="1" applyFont="1" applyFill="1" applyBorder="1"/>
    <xf numFmtId="175" fontId="1" fillId="0" borderId="9" xfId="1" applyNumberFormat="1" applyFont="1" applyBorder="1"/>
    <xf numFmtId="182" fontId="1" fillId="0" borderId="7" xfId="0" applyNumberFormat="1" applyFont="1" applyBorder="1"/>
    <xf numFmtId="0" fontId="2" fillId="0" borderId="14" xfId="0" applyFont="1" applyBorder="1" applyAlignment="1">
      <alignment horizontal="center"/>
    </xf>
    <xf numFmtId="0" fontId="1" fillId="0" borderId="7" xfId="0" applyFont="1" applyBorder="1" applyAlignment="1">
      <alignment horizontal="center"/>
    </xf>
    <xf numFmtId="165" fontId="1" fillId="0" borderId="14" xfId="1" applyNumberFormat="1" applyFont="1" applyBorder="1" applyAlignment="1">
      <alignment horizontal="center"/>
    </xf>
    <xf numFmtId="10" fontId="1" fillId="0" borderId="14" xfId="2" applyNumberFormat="1" applyFont="1" applyBorder="1" applyAlignment="1">
      <alignment horizontal="center"/>
    </xf>
    <xf numFmtId="167" fontId="1" fillId="0" borderId="2" xfId="0" applyNumberFormat="1" applyFont="1" applyBorder="1" applyAlignment="1">
      <alignment horizontal="center"/>
    </xf>
    <xf numFmtId="10" fontId="1" fillId="0" borderId="7" xfId="2" applyNumberFormat="1" applyFont="1" applyBorder="1"/>
    <xf numFmtId="165" fontId="1" fillId="0" borderId="9" xfId="0" applyNumberFormat="1" applyFont="1" applyBorder="1"/>
    <xf numFmtId="167" fontId="1" fillId="0" borderId="9" xfId="0" applyNumberFormat="1" applyFont="1" applyBorder="1"/>
    <xf numFmtId="10" fontId="1" fillId="0" borderId="10" xfId="2" applyNumberFormat="1" applyFont="1" applyBorder="1"/>
    <xf numFmtId="0" fontId="1" fillId="0" borderId="11" xfId="0" applyFont="1" applyBorder="1" applyAlignment="1">
      <alignment horizontal="center"/>
    </xf>
    <xf numFmtId="165" fontId="1" fillId="0" borderId="12" xfId="1" applyNumberFormat="1" applyFont="1" applyBorder="1"/>
    <xf numFmtId="9" fontId="1" fillId="0" borderId="12" xfId="2" applyFont="1" applyBorder="1"/>
    <xf numFmtId="172" fontId="1" fillId="0" borderId="13" xfId="1" applyNumberFormat="1" applyFont="1" applyBorder="1"/>
    <xf numFmtId="171" fontId="1" fillId="0" borderId="1" xfId="0" applyNumberFormat="1" applyFont="1" applyBorder="1" applyAlignment="1">
      <alignment horizontal="center" wrapText="1"/>
    </xf>
    <xf numFmtId="165" fontId="1" fillId="0" borderId="2" xfId="1" applyNumberFormat="1" applyFont="1" applyBorder="1" applyAlignment="1">
      <alignment horizontal="center" wrapText="1"/>
    </xf>
    <xf numFmtId="0" fontId="1" fillId="0" borderId="5" xfId="0" applyFont="1" applyBorder="1" applyAlignment="1">
      <alignment horizontal="right"/>
    </xf>
    <xf numFmtId="4" fontId="13" fillId="0" borderId="7" xfId="5" applyNumberFormat="1" applyFont="1" applyBorder="1" applyAlignment="1">
      <alignment horizontal="right"/>
    </xf>
    <xf numFmtId="0" fontId="1" fillId="2" borderId="0" xfId="0" applyFont="1" applyFill="1"/>
    <xf numFmtId="43" fontId="1" fillId="2" borderId="0" xfId="0" applyNumberFormat="1" applyFont="1" applyFill="1"/>
    <xf numFmtId="10" fontId="1" fillId="2" borderId="0" xfId="2" applyNumberFormat="1" applyFont="1" applyFill="1"/>
    <xf numFmtId="165" fontId="1" fillId="2" borderId="0" xfId="1" applyNumberFormat="1" applyFont="1" applyFill="1"/>
    <xf numFmtId="0" fontId="1" fillId="2" borderId="0" xfId="0" applyFont="1" applyFill="1" applyAlignment="1">
      <alignment horizontal="center" vertical="center"/>
    </xf>
    <xf numFmtId="43" fontId="1" fillId="0" borderId="14" xfId="1" applyFont="1" applyBorder="1" applyAlignment="1">
      <alignment horizontal="center"/>
    </xf>
    <xf numFmtId="0" fontId="1" fillId="2" borderId="14" xfId="0" applyFont="1" applyFill="1" applyBorder="1" applyAlignment="1">
      <alignment horizontal="center"/>
    </xf>
    <xf numFmtId="0" fontId="1" fillId="2" borderId="2" xfId="0" applyFont="1" applyFill="1" applyBorder="1" applyAlignment="1">
      <alignment horizontal="center"/>
    </xf>
    <xf numFmtId="43" fontId="1" fillId="0" borderId="2" xfId="1" applyFont="1" applyBorder="1" applyAlignment="1">
      <alignment horizontal="center"/>
    </xf>
    <xf numFmtId="0" fontId="1" fillId="2" borderId="4" xfId="0" applyFont="1" applyFill="1" applyBorder="1"/>
    <xf numFmtId="43" fontId="1" fillId="0" borderId="5" xfId="1" applyFont="1" applyBorder="1"/>
    <xf numFmtId="165" fontId="1" fillId="2" borderId="0" xfId="1" applyNumberFormat="1" applyFont="1" applyFill="1" applyBorder="1"/>
    <xf numFmtId="171" fontId="9" fillId="0" borderId="1" xfId="0" applyNumberFormat="1" applyFont="1" applyBorder="1" applyAlignment="1">
      <alignment horizontal="center"/>
    </xf>
    <xf numFmtId="171" fontId="9" fillId="0" borderId="3" xfId="0" applyNumberFormat="1" applyFont="1" applyBorder="1" applyAlignment="1">
      <alignment horizontal="center"/>
    </xf>
    <xf numFmtId="171" fontId="9" fillId="0" borderId="5" xfId="0" applyNumberFormat="1" applyFont="1" applyBorder="1" applyAlignment="1">
      <alignment horizontal="center"/>
    </xf>
    <xf numFmtId="0" fontId="9" fillId="0" borderId="7" xfId="0" applyFont="1" applyBorder="1" applyAlignment="1">
      <alignment horizontal="center"/>
    </xf>
    <xf numFmtId="0" fontId="9" fillId="0" borderId="14" xfId="0" applyFont="1" applyBorder="1" applyAlignment="1">
      <alignment horizontal="center"/>
    </xf>
    <xf numFmtId="0" fontId="9" fillId="0" borderId="6" xfId="0" applyFont="1" applyBorder="1" applyAlignment="1">
      <alignment horizontal="center"/>
    </xf>
    <xf numFmtId="0" fontId="9" fillId="0" borderId="2" xfId="0" applyFont="1" applyBorder="1" applyAlignment="1">
      <alignment horizontal="center"/>
    </xf>
    <xf numFmtId="0" fontId="9" fillId="0" borderId="4" xfId="0" applyFont="1" applyBorder="1"/>
    <xf numFmtId="0" fontId="9" fillId="0" borderId="5" xfId="0" applyFont="1" applyBorder="1"/>
    <xf numFmtId="165" fontId="9" fillId="0" borderId="0" xfId="1" applyNumberFormat="1" applyFont="1" applyFill="1" applyBorder="1"/>
    <xf numFmtId="165" fontId="9" fillId="0" borderId="0" xfId="1" applyNumberFormat="1" applyFont="1"/>
    <xf numFmtId="165" fontId="9" fillId="0" borderId="7" xfId="2" applyNumberFormat="1" applyFont="1" applyFill="1" applyBorder="1"/>
    <xf numFmtId="165" fontId="9" fillId="0" borderId="9" xfId="1" applyNumberFormat="1" applyFont="1" applyFill="1" applyBorder="1"/>
    <xf numFmtId="165" fontId="9" fillId="0" borderId="9" xfId="1" applyNumberFormat="1" applyFont="1" applyBorder="1"/>
    <xf numFmtId="165" fontId="9" fillId="0" borderId="10" xfId="2" applyNumberFormat="1" applyFont="1" applyFill="1" applyBorder="1"/>
    <xf numFmtId="0" fontId="1" fillId="0" borderId="0" xfId="0" applyFont="1" applyAlignment="1">
      <alignment horizontal="left"/>
    </xf>
    <xf numFmtId="0" fontId="1" fillId="2" borderId="0" xfId="0" applyFont="1" applyFill="1" applyAlignment="1">
      <alignment horizontal="right"/>
    </xf>
    <xf numFmtId="0" fontId="2" fillId="0" borderId="1" xfId="0" applyFont="1" applyBorder="1" applyAlignment="1">
      <alignment horizontal="center"/>
    </xf>
    <xf numFmtId="0" fontId="1" fillId="2" borderId="14" xfId="0" applyFont="1" applyFill="1" applyBorder="1"/>
    <xf numFmtId="43" fontId="1" fillId="0" borderId="14" xfId="1" applyFont="1" applyBorder="1" applyAlignment="1"/>
    <xf numFmtId="43" fontId="1" fillId="0" borderId="14" xfId="1" applyFont="1" applyFill="1" applyBorder="1" applyAlignment="1"/>
    <xf numFmtId="0" fontId="1" fillId="0" borderId="2" xfId="0" applyFont="1" applyBorder="1"/>
    <xf numFmtId="0" fontId="1" fillId="2" borderId="2" xfId="0" applyFont="1" applyFill="1" applyBorder="1"/>
    <xf numFmtId="43" fontId="1" fillId="0" borderId="2" xfId="1" applyFont="1" applyFill="1" applyBorder="1" applyAlignment="1"/>
    <xf numFmtId="165" fontId="1" fillId="2" borderId="9" xfId="1" applyNumberFormat="1" applyFont="1" applyFill="1" applyBorder="1"/>
    <xf numFmtId="180" fontId="8" fillId="0" borderId="1" xfId="0" applyNumberFormat="1" applyFont="1" applyBorder="1" applyAlignment="1">
      <alignment horizontal="center"/>
    </xf>
    <xf numFmtId="180" fontId="9" fillId="0" borderId="14" xfId="0" applyNumberFormat="1" applyFont="1" applyBorder="1" applyAlignment="1">
      <alignment horizontal="center"/>
    </xf>
    <xf numFmtId="180" fontId="9" fillId="0" borderId="7" xfId="0" applyNumberFormat="1" applyFont="1" applyBorder="1" applyAlignment="1">
      <alignment horizontal="center"/>
    </xf>
    <xf numFmtId="165" fontId="9" fillId="0" borderId="9" xfId="0" applyNumberFormat="1" applyFont="1" applyBorder="1"/>
    <xf numFmtId="0" fontId="1" fillId="2" borderId="1" xfId="0" applyFont="1" applyFill="1" applyBorder="1" applyAlignment="1">
      <alignment horizontal="center"/>
    </xf>
    <xf numFmtId="0" fontId="1" fillId="0" borderId="14" xfId="0" quotePrefix="1" applyFont="1" applyBorder="1" applyAlignment="1">
      <alignment horizontal="center"/>
    </xf>
    <xf numFmtId="43" fontId="1" fillId="2" borderId="4" xfId="1" applyFont="1" applyFill="1" applyBorder="1"/>
    <xf numFmtId="167" fontId="1" fillId="2" borderId="0" xfId="0" applyNumberFormat="1" applyFont="1" applyFill="1"/>
    <xf numFmtId="167" fontId="1" fillId="2" borderId="9" xfId="0" applyNumberFormat="1" applyFont="1" applyFill="1" applyBorder="1"/>
    <xf numFmtId="167" fontId="1" fillId="0" borderId="10" xfId="0" applyNumberFormat="1" applyFont="1" applyBorder="1"/>
    <xf numFmtId="0" fontId="9" fillId="0" borderId="1" xfId="0" applyFont="1" applyBorder="1" applyAlignment="1">
      <alignment horizontal="center"/>
    </xf>
    <xf numFmtId="0" fontId="9" fillId="0" borderId="3" xfId="0" applyFont="1" applyBorder="1"/>
    <xf numFmtId="43" fontId="9" fillId="0" borderId="4" xfId="1" applyFont="1" applyFill="1" applyBorder="1"/>
    <xf numFmtId="167" fontId="9" fillId="0" borderId="4" xfId="0" applyNumberFormat="1" applyFont="1" applyBorder="1"/>
    <xf numFmtId="167" fontId="9" fillId="0" borderId="5" xfId="0" applyNumberFormat="1" applyFont="1" applyBorder="1"/>
    <xf numFmtId="0" fontId="9" fillId="0" borderId="6" xfId="0" applyFont="1" applyBorder="1"/>
    <xf numFmtId="167" fontId="9" fillId="0" borderId="0" xfId="0" applyNumberFormat="1" applyFont="1"/>
    <xf numFmtId="167" fontId="9" fillId="0" borderId="7" xfId="0" applyNumberFormat="1" applyFont="1" applyBorder="1"/>
    <xf numFmtId="0" fontId="9" fillId="0" borderId="8" xfId="0" applyFont="1" applyBorder="1"/>
    <xf numFmtId="167" fontId="9" fillId="0" borderId="9" xfId="0" applyNumberFormat="1" applyFont="1" applyBorder="1"/>
    <xf numFmtId="167" fontId="9" fillId="0" borderId="10" xfId="0" applyNumberFormat="1" applyFont="1" applyBorder="1"/>
    <xf numFmtId="0" fontId="1" fillId="0" borderId="1" xfId="0" applyFont="1" applyBorder="1" applyAlignment="1">
      <alignment horizontal="right"/>
    </xf>
    <xf numFmtId="0" fontId="1" fillId="0" borderId="1" xfId="0" applyFont="1" applyBorder="1"/>
    <xf numFmtId="167" fontId="1" fillId="0" borderId="14" xfId="0" applyNumberFormat="1" applyFont="1" applyBorder="1"/>
    <xf numFmtId="167" fontId="1" fillId="0" borderId="2" xfId="0" applyNumberFormat="1" applyFont="1" applyBorder="1"/>
    <xf numFmtId="0" fontId="1" fillId="2" borderId="3" xfId="0" applyFont="1" applyFill="1" applyBorder="1" applyAlignment="1">
      <alignment horizontal="center"/>
    </xf>
    <xf numFmtId="0" fontId="1" fillId="2" borderId="8" xfId="0" applyFont="1" applyFill="1" applyBorder="1" applyAlignment="1">
      <alignment horizontal="center"/>
    </xf>
    <xf numFmtId="0" fontId="1" fillId="2" borderId="5" xfId="0" applyFont="1" applyFill="1" applyBorder="1"/>
    <xf numFmtId="0" fontId="1" fillId="2" borderId="6" xfId="0" applyFont="1" applyFill="1" applyBorder="1" applyAlignment="1">
      <alignment horizontal="center"/>
    </xf>
    <xf numFmtId="167" fontId="1" fillId="2" borderId="7" xfId="0" applyNumberFormat="1" applyFont="1" applyFill="1" applyBorder="1"/>
    <xf numFmtId="167" fontId="1" fillId="2" borderId="10" xfId="0" applyNumberFormat="1" applyFont="1" applyFill="1" applyBorder="1"/>
    <xf numFmtId="0" fontId="9" fillId="2" borderId="0" xfId="4" applyFont="1" applyFill="1"/>
    <xf numFmtId="0" fontId="9" fillId="2" borderId="15" xfId="0" applyFont="1" applyFill="1" applyBorder="1" applyAlignment="1">
      <alignment horizontal="right"/>
    </xf>
    <xf numFmtId="0" fontId="19" fillId="0" borderId="0" xfId="8" applyFont="1"/>
    <xf numFmtId="0" fontId="1" fillId="0" borderId="8" xfId="0" applyFont="1" applyBorder="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0" xfId="0" applyFont="1" applyAlignment="1">
      <alignment horizontal="center"/>
    </xf>
    <xf numFmtId="0" fontId="1" fillId="0" borderId="24" xfId="0" applyFont="1" applyBorder="1" applyAlignment="1">
      <alignment horizontal="center"/>
    </xf>
    <xf numFmtId="0" fontId="1" fillId="0" borderId="20" xfId="0" applyFont="1" applyBorder="1" applyAlignment="1">
      <alignment horizontal="center"/>
    </xf>
    <xf numFmtId="0" fontId="1" fillId="0" borderId="19"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167" fontId="1" fillId="0" borderId="1" xfId="0" applyNumberFormat="1" applyFont="1" applyBorder="1" applyAlignment="1">
      <alignment horizontal="center"/>
    </xf>
    <xf numFmtId="0" fontId="1" fillId="0" borderId="2" xfId="0" applyFont="1" applyBorder="1" applyAlignment="1">
      <alignment horizontal="center"/>
    </xf>
    <xf numFmtId="0" fontId="1" fillId="0" borderId="14" xfId="0" applyFont="1" applyBorder="1" applyAlignment="1">
      <alignment horizontal="right" wrapText="1"/>
    </xf>
    <xf numFmtId="0" fontId="1" fillId="0" borderId="2" xfId="0" applyFont="1" applyBorder="1" applyAlignment="1">
      <alignment horizontal="right" wrapText="1"/>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10" fontId="9" fillId="0" borderId="11" xfId="6" applyNumberFormat="1" applyFont="1" applyBorder="1" applyAlignment="1">
      <alignment horizontal="left"/>
    </xf>
    <xf numFmtId="10" fontId="9" fillId="0" borderId="12" xfId="6" applyNumberFormat="1" applyFont="1" applyBorder="1" applyAlignment="1">
      <alignment horizontal="left"/>
    </xf>
    <xf numFmtId="10" fontId="9" fillId="0" borderId="13" xfId="6" applyNumberFormat="1" applyFont="1" applyBorder="1" applyAlignment="1">
      <alignment horizontal="left"/>
    </xf>
    <xf numFmtId="0" fontId="9" fillId="0" borderId="11" xfId="5" applyFont="1" applyBorder="1" applyAlignment="1">
      <alignment horizontal="left"/>
    </xf>
    <xf numFmtId="0" fontId="9" fillId="0" borderId="12" xfId="5" applyFont="1" applyBorder="1" applyAlignment="1">
      <alignment horizontal="left"/>
    </xf>
    <xf numFmtId="0" fontId="9" fillId="0" borderId="13" xfId="5" applyFont="1" applyBorder="1" applyAlignment="1">
      <alignment horizontal="left"/>
    </xf>
    <xf numFmtId="0" fontId="9" fillId="0" borderId="3" xfId="5" applyFont="1" applyBorder="1" applyAlignment="1">
      <alignment horizontal="center"/>
    </xf>
    <xf numFmtId="0" fontId="9" fillId="0" borderId="4" xfId="5" applyFont="1" applyBorder="1" applyAlignment="1">
      <alignment horizontal="center"/>
    </xf>
    <xf numFmtId="0" fontId="9" fillId="0" borderId="5" xfId="5" applyFont="1" applyBorder="1" applyAlignment="1">
      <alignment horizontal="center"/>
    </xf>
    <xf numFmtId="0" fontId="9" fillId="0" borderId="8" xfId="5" applyFont="1" applyBorder="1" applyAlignment="1">
      <alignment horizontal="center"/>
    </xf>
    <xf numFmtId="0" fontId="9" fillId="0" borderId="9" xfId="5" applyFont="1" applyBorder="1" applyAlignment="1">
      <alignment horizontal="center"/>
    </xf>
    <xf numFmtId="0" fontId="9" fillId="0" borderId="10" xfId="5" applyFont="1" applyBorder="1" applyAlignment="1">
      <alignment horizontal="center"/>
    </xf>
    <xf numFmtId="0" fontId="9" fillId="0" borderId="0" xfId="5" applyFont="1" applyAlignment="1">
      <alignment horizontal="left"/>
    </xf>
    <xf numFmtId="0" fontId="2" fillId="0" borderId="3" xfId="0" applyFont="1" applyBorder="1" applyAlignment="1" applyProtection="1">
      <alignment horizontal="center"/>
      <protection locked="0"/>
    </xf>
    <xf numFmtId="0" fontId="2" fillId="0" borderId="4" xfId="0" applyFont="1" applyBorder="1" applyAlignment="1" applyProtection="1">
      <alignment horizontal="center"/>
      <protection locked="0"/>
    </xf>
    <xf numFmtId="0" fontId="2" fillId="0" borderId="5" xfId="0" applyFont="1" applyBorder="1" applyAlignment="1" applyProtection="1">
      <alignment horizontal="center"/>
      <protection locked="0"/>
    </xf>
    <xf numFmtId="0" fontId="2" fillId="0" borderId="8" xfId="0" applyFont="1" applyBorder="1" applyAlignment="1" applyProtection="1">
      <alignment horizontal="center"/>
      <protection locked="0"/>
    </xf>
    <xf numFmtId="0" fontId="2" fillId="0" borderId="9" xfId="0" applyFont="1" applyBorder="1" applyAlignment="1" applyProtection="1">
      <alignment horizontal="center"/>
      <protection locked="0"/>
    </xf>
    <xf numFmtId="0" fontId="2" fillId="0" borderId="10" xfId="0" applyFont="1" applyBorder="1" applyAlignment="1" applyProtection="1">
      <alignment horizontal="center"/>
      <protection locked="0"/>
    </xf>
    <xf numFmtId="0" fontId="1" fillId="0" borderId="8" xfId="0" applyFont="1" applyBorder="1" applyAlignment="1">
      <alignment horizontal="center" wrapText="1"/>
    </xf>
    <xf numFmtId="0" fontId="1" fillId="0" borderId="9" xfId="0" applyFont="1" applyBorder="1" applyAlignment="1">
      <alignment horizontal="center" wrapText="1"/>
    </xf>
    <xf numFmtId="0" fontId="1" fillId="0" borderId="10" xfId="0" applyFont="1" applyBorder="1" applyAlignment="1">
      <alignment horizontal="center" wrapText="1"/>
    </xf>
    <xf numFmtId="0" fontId="2" fillId="0" borderId="6" xfId="0" applyFont="1" applyBorder="1" applyAlignment="1">
      <alignment horizontal="center"/>
    </xf>
    <xf numFmtId="0" fontId="2" fillId="0" borderId="0" xfId="0" applyFont="1" applyAlignment="1">
      <alignment horizontal="center"/>
    </xf>
    <xf numFmtId="0" fontId="2" fillId="0" borderId="7" xfId="0" applyFont="1" applyBorder="1" applyAlignment="1">
      <alignment horizontal="center"/>
    </xf>
    <xf numFmtId="0" fontId="8" fillId="0" borderId="8" xfId="0" applyFont="1" applyBorder="1" applyAlignment="1">
      <alignment horizontal="center"/>
    </xf>
    <xf numFmtId="0" fontId="8" fillId="0" borderId="9" xfId="0" applyFont="1" applyBorder="1" applyAlignment="1">
      <alignment horizontal="center"/>
    </xf>
    <xf numFmtId="0" fontId="8" fillId="0" borderId="0" xfId="0" applyFont="1" applyAlignment="1">
      <alignment horizontal="center"/>
    </xf>
    <xf numFmtId="0" fontId="8" fillId="0" borderId="10"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8" fillId="0" borderId="5"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9" fillId="0" borderId="5" xfId="0" applyFont="1" applyBorder="1" applyAlignment="1">
      <alignment horizontal="center"/>
    </xf>
    <xf numFmtId="0" fontId="9" fillId="0" borderId="8" xfId="0" applyFont="1" applyBorder="1" applyAlignment="1">
      <alignment horizontal="center"/>
    </xf>
    <xf numFmtId="0" fontId="9" fillId="0" borderId="9" xfId="0" applyFont="1" applyBorder="1" applyAlignment="1">
      <alignment horizontal="center"/>
    </xf>
    <xf numFmtId="0" fontId="9" fillId="0" borderId="10" xfId="0" applyFont="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2" borderId="5" xfId="0" applyFont="1"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cellXfs>
  <cellStyles count="9">
    <cellStyle name="Comma" xfId="1" builtinId="3"/>
    <cellStyle name="Comma 2" xfId="7" xr:uid="{F1CD6803-658C-439B-AA3F-7690C9BBFEB0}"/>
    <cellStyle name="Currency" xfId="3" builtinId="4"/>
    <cellStyle name="Normal" xfId="0" builtinId="0"/>
    <cellStyle name="Normal 12" xfId="8" xr:uid="{4AE224CE-5BE9-4AA9-884C-E2A5E0619549}"/>
    <cellStyle name="Normal 2" xfId="4" xr:uid="{F8BF188D-C6E1-4A98-B793-1E3B1FBFC90D}"/>
    <cellStyle name="Normal 3" xfId="5" xr:uid="{2A649C17-63FD-4A1D-B2DE-65C388110EBE}"/>
    <cellStyle name="Percent" xfId="2" builtinId="5"/>
    <cellStyle name="Percent 2" xfId="6" xr:uid="{FE72FF72-1DE0-411E-A7DC-7788E476B885}"/>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L81" dT="2021-01-09T15:10:40.45" personId="{00000000-0000-0000-0000-000000000000}" id="{62BFB5EC-FAE4-4921-B87E-3E56C767466F}">
    <text>BN104 = 2? Otherwise there is no bifurcation.</text>
  </threadedComment>
  <threadedComment ref="BL82" dT="2021-01-09T15:10:40.45" personId="{00000000-0000-0000-0000-000000000000}" id="{46F47C7C-A48D-433B-8627-AD2CE13BE536}">
    <text>BN104 = 2? Otherwise there is no bifurcation.</text>
  </threadedComment>
</ThreadedComments>
</file>

<file path=xl/threadedComments/threadedComment2.xml><?xml version="1.0" encoding="utf-8"?>
<ThreadedComments xmlns="http://schemas.microsoft.com/office/spreadsheetml/2018/threadedcomments" xmlns:x="http://schemas.openxmlformats.org/spreadsheetml/2006/main">
  <threadedComment ref="K53" dT="2022-05-10T08:21:37.17" personId="{00000000-0000-0000-0000-000000000000}" id="{8A78D800-1D96-4698-A363-5661E32A64A3}">
    <text>spell check</text>
  </threadedComment>
</ThreadedComments>
</file>

<file path=xl/worksheets/_rels/sheet10.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 Id="rId4" Type="http://schemas.microsoft.com/office/2017/10/relationships/threadedComment" Target="../threadedComments/threadedComment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12.bin"/><Relationship Id="rId1" Type="http://schemas.openxmlformats.org/officeDocument/2006/relationships/printerSettings" Target="../printerSettings/printerSettings16.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customProperty" Target="../customProperty19.bin"/><Relationship Id="rId1" Type="http://schemas.openxmlformats.org/officeDocument/2006/relationships/printerSettings" Target="../printerSettings/printerSettings25.bin"/><Relationship Id="rId4" Type="http://schemas.openxmlformats.org/officeDocument/2006/relationships/comments" Target="../comments3.xml"/></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52B67-C963-4FFE-9A7F-26F86F830C8E}">
  <dimension ref="A1:W51"/>
  <sheetViews>
    <sheetView tabSelected="1" workbookViewId="0">
      <selection activeCell="AD28" sqref="AD28"/>
    </sheetView>
  </sheetViews>
  <sheetFormatPr defaultColWidth="8.85546875" defaultRowHeight="15" x14ac:dyDescent="0.25"/>
  <cols>
    <col min="1" max="3" width="1.85546875" style="77" customWidth="1"/>
    <col min="4" max="16384" width="8.85546875" style="77"/>
  </cols>
  <sheetData>
    <row r="1" spans="1:23" ht="13.35" customHeight="1" x14ac:dyDescent="0.25">
      <c r="A1" s="76" t="s">
        <v>368</v>
      </c>
      <c r="M1" s="75" t="s">
        <v>416</v>
      </c>
    </row>
    <row r="2" spans="1:23" ht="13.35" customHeight="1" x14ac:dyDescent="0.25">
      <c r="A2" s="45" t="s">
        <v>369</v>
      </c>
    </row>
    <row r="3" spans="1:23" ht="2.1" customHeight="1" x14ac:dyDescent="0.25"/>
    <row r="4" spans="1:23" ht="13.35" customHeight="1" x14ac:dyDescent="0.25">
      <c r="A4" s="78" t="s">
        <v>370</v>
      </c>
    </row>
    <row r="5" spans="1:23" ht="13.35" customHeight="1" x14ac:dyDescent="0.25">
      <c r="A5" s="79" t="s">
        <v>379</v>
      </c>
    </row>
    <row r="6" spans="1:23" ht="2.1" customHeight="1" x14ac:dyDescent="0.25">
      <c r="A6" s="76"/>
    </row>
    <row r="7" spans="1:23" ht="13.35" customHeight="1" x14ac:dyDescent="0.25">
      <c r="A7" s="1" t="s">
        <v>371</v>
      </c>
    </row>
    <row r="8" spans="1:23" ht="13.35" customHeight="1" x14ac:dyDescent="0.25">
      <c r="A8" s="1"/>
    </row>
    <row r="9" spans="1:23" ht="13.35" customHeight="1" x14ac:dyDescent="0.25">
      <c r="B9" s="77" t="s">
        <v>372</v>
      </c>
    </row>
    <row r="10" spans="1:23" ht="13.35" customHeight="1" x14ac:dyDescent="0.25"/>
    <row r="11" spans="1:23" ht="13.35" customHeight="1" x14ac:dyDescent="0.25">
      <c r="B11" s="77" t="s">
        <v>373</v>
      </c>
    </row>
    <row r="12" spans="1:23" ht="13.35" customHeight="1" x14ac:dyDescent="0.25">
      <c r="B12" s="77" t="s">
        <v>374</v>
      </c>
    </row>
    <row r="13" spans="1:23" ht="13.35" customHeight="1" x14ac:dyDescent="0.25">
      <c r="B13" s="77" t="s">
        <v>375</v>
      </c>
    </row>
    <row r="15" spans="1:23" s="413" customFormat="1" ht="13.35" customHeight="1" x14ac:dyDescent="0.25">
      <c r="A15" s="77"/>
      <c r="B15" s="77" t="s">
        <v>418</v>
      </c>
      <c r="C15" s="77"/>
      <c r="D15" s="77"/>
      <c r="E15" s="77"/>
      <c r="F15" s="77"/>
      <c r="G15" s="77"/>
      <c r="H15" s="77"/>
      <c r="I15" s="77"/>
      <c r="J15" s="77"/>
      <c r="K15" s="77"/>
      <c r="L15" s="77"/>
      <c r="M15" s="77"/>
      <c r="N15" s="77"/>
      <c r="O15" s="77"/>
      <c r="P15" s="77"/>
      <c r="Q15" s="77"/>
      <c r="R15" s="77"/>
      <c r="S15" s="77"/>
      <c r="T15" s="77"/>
      <c r="U15" s="77"/>
      <c r="V15" s="77"/>
      <c r="W15" s="77"/>
    </row>
    <row r="16" spans="1:23" s="413" customFormat="1" ht="13.35" customHeight="1" x14ac:dyDescent="0.25">
      <c r="A16" s="77"/>
      <c r="B16" s="77" t="s">
        <v>393</v>
      </c>
      <c r="C16" s="77"/>
      <c r="D16" s="77"/>
      <c r="E16" s="77"/>
      <c r="F16" s="77"/>
      <c r="G16" s="77"/>
      <c r="H16" s="77"/>
      <c r="I16" s="77"/>
      <c r="J16" s="77"/>
      <c r="K16" s="77"/>
      <c r="L16" s="77"/>
      <c r="M16" s="77"/>
      <c r="N16" s="77"/>
      <c r="O16" s="77"/>
      <c r="P16" s="77"/>
      <c r="Q16" s="77"/>
      <c r="R16" s="77"/>
      <c r="S16" s="77"/>
      <c r="T16" s="77"/>
      <c r="U16" s="77"/>
      <c r="V16" s="77"/>
      <c r="W16" s="77"/>
    </row>
    <row r="17" spans="1:23" s="413" customFormat="1" ht="13.35" customHeight="1" x14ac:dyDescent="0.25">
      <c r="A17" s="77"/>
      <c r="B17" s="77" t="s">
        <v>419</v>
      </c>
      <c r="C17" s="77"/>
      <c r="D17" s="77"/>
      <c r="E17" s="77"/>
      <c r="F17" s="77"/>
      <c r="G17" s="77"/>
      <c r="H17" s="77"/>
      <c r="I17" s="77"/>
      <c r="J17" s="77"/>
      <c r="K17" s="77"/>
      <c r="L17" s="77"/>
      <c r="M17" s="77"/>
      <c r="N17" s="77"/>
      <c r="O17" s="77"/>
      <c r="P17" s="77"/>
      <c r="Q17" s="77"/>
      <c r="R17" s="77"/>
      <c r="S17" s="77"/>
      <c r="T17" s="77"/>
      <c r="U17" s="77"/>
      <c r="V17" s="77"/>
      <c r="W17" s="77"/>
    </row>
    <row r="18" spans="1:23" s="413" customFormat="1" ht="13.35" customHeight="1" x14ac:dyDescent="0.25">
      <c r="A18" s="77"/>
      <c r="B18" s="77" t="s">
        <v>420</v>
      </c>
      <c r="C18" s="77"/>
      <c r="D18" s="77"/>
      <c r="E18" s="77"/>
      <c r="F18" s="77"/>
      <c r="G18" s="77"/>
      <c r="H18" s="77"/>
      <c r="I18" s="77"/>
      <c r="J18" s="77"/>
      <c r="K18" s="77"/>
      <c r="L18" s="77"/>
      <c r="M18" s="77"/>
      <c r="N18" s="77"/>
      <c r="O18" s="77"/>
      <c r="P18" s="77"/>
      <c r="Q18" s="77"/>
      <c r="R18" s="77"/>
      <c r="S18" s="77"/>
      <c r="T18" s="77"/>
      <c r="U18" s="77"/>
      <c r="V18" s="77"/>
      <c r="W18" s="77"/>
    </row>
    <row r="20" spans="1:23" ht="13.35" customHeight="1" x14ac:dyDescent="0.25">
      <c r="B20" s="78" t="s">
        <v>376</v>
      </c>
    </row>
    <row r="22" spans="1:23" ht="13.35" customHeight="1" x14ac:dyDescent="0.25">
      <c r="C22" s="77" t="s">
        <v>377</v>
      </c>
    </row>
    <row r="23" spans="1:23" ht="13.35" customHeight="1" x14ac:dyDescent="0.25">
      <c r="D23" s="79" t="s">
        <v>413</v>
      </c>
    </row>
    <row r="24" spans="1:23" ht="13.35" customHeight="1" x14ac:dyDescent="0.25">
      <c r="D24" s="77" t="s">
        <v>414</v>
      </c>
    </row>
    <row r="25" spans="1:23" ht="13.35" customHeight="1" x14ac:dyDescent="0.25">
      <c r="D25" s="77" t="s">
        <v>378</v>
      </c>
    </row>
    <row r="27" spans="1:23" ht="13.35" customHeight="1" x14ac:dyDescent="0.25">
      <c r="B27" s="78" t="s">
        <v>394</v>
      </c>
      <c r="I27" s="75"/>
      <c r="J27" s="75"/>
      <c r="K27" s="75"/>
      <c r="L27" s="75"/>
      <c r="M27" s="75"/>
    </row>
    <row r="28" spans="1:23" ht="13.35" customHeight="1" x14ac:dyDescent="0.25">
      <c r="B28" s="78"/>
      <c r="I28" s="75"/>
      <c r="J28" s="75"/>
      <c r="K28" s="75"/>
      <c r="L28" s="75"/>
      <c r="M28" s="75"/>
    </row>
    <row r="29" spans="1:23" ht="13.35" customHeight="1" x14ac:dyDescent="0.25">
      <c r="B29" s="78"/>
      <c r="C29" s="77" t="s">
        <v>395</v>
      </c>
      <c r="I29" s="75"/>
      <c r="J29" s="75"/>
      <c r="K29" s="75"/>
      <c r="L29" s="75"/>
      <c r="M29" s="75"/>
    </row>
    <row r="30" spans="1:23" ht="13.35" customHeight="1" x14ac:dyDescent="0.25">
      <c r="B30" s="78"/>
      <c r="C30" s="77" t="s">
        <v>408</v>
      </c>
      <c r="I30" s="75"/>
      <c r="J30" s="75"/>
      <c r="K30" s="75"/>
      <c r="L30" s="75"/>
      <c r="M30" s="75"/>
    </row>
    <row r="31" spans="1:23" ht="13.35" customHeight="1" x14ac:dyDescent="0.25">
      <c r="B31" s="78"/>
      <c r="C31" s="77" t="s">
        <v>396</v>
      </c>
      <c r="I31" s="75"/>
      <c r="J31" s="75"/>
      <c r="K31" s="75"/>
      <c r="L31" s="75"/>
      <c r="M31" s="75"/>
    </row>
    <row r="32" spans="1:23" ht="13.35" customHeight="1" x14ac:dyDescent="0.25">
      <c r="B32" s="78"/>
      <c r="C32" s="77" t="s">
        <v>397</v>
      </c>
      <c r="I32" s="75"/>
      <c r="J32" s="75"/>
      <c r="K32" s="75"/>
      <c r="L32" s="75"/>
      <c r="M32" s="75"/>
    </row>
    <row r="33" spans="2:13" ht="13.35" customHeight="1" x14ac:dyDescent="0.25">
      <c r="B33" s="78"/>
      <c r="C33" s="77" t="s">
        <v>398</v>
      </c>
      <c r="I33" s="75"/>
      <c r="J33" s="75"/>
      <c r="K33" s="75"/>
      <c r="L33" s="75"/>
      <c r="M33" s="75"/>
    </row>
    <row r="34" spans="2:13" ht="13.35" customHeight="1" x14ac:dyDescent="0.25">
      <c r="B34" s="78"/>
      <c r="I34" s="75"/>
      <c r="J34" s="75"/>
      <c r="K34" s="75"/>
      <c r="L34" s="75"/>
      <c r="M34" s="75"/>
    </row>
    <row r="35" spans="2:13" ht="13.35" customHeight="1" x14ac:dyDescent="0.25">
      <c r="B35" s="78" t="s">
        <v>415</v>
      </c>
      <c r="I35" s="75"/>
      <c r="J35" s="75"/>
      <c r="K35" s="75"/>
      <c r="L35" s="75"/>
      <c r="M35" s="75"/>
    </row>
    <row r="36" spans="2:13" ht="13.35" customHeight="1" x14ac:dyDescent="0.25">
      <c r="B36" s="78"/>
      <c r="I36" s="75"/>
      <c r="J36" s="75"/>
      <c r="K36" s="75"/>
      <c r="L36" s="75"/>
      <c r="M36" s="75"/>
    </row>
    <row r="37" spans="2:13" ht="13.35" customHeight="1" x14ac:dyDescent="0.25">
      <c r="B37" s="78"/>
      <c r="C37" s="77" t="s">
        <v>409</v>
      </c>
      <c r="I37" s="75"/>
      <c r="J37" s="75"/>
      <c r="K37" s="75"/>
      <c r="L37" s="75"/>
      <c r="M37" s="75"/>
    </row>
    <row r="38" spans="2:13" ht="13.35" customHeight="1" x14ac:dyDescent="0.25">
      <c r="B38" s="78"/>
      <c r="C38" s="77" t="s">
        <v>410</v>
      </c>
      <c r="I38" s="75"/>
      <c r="J38" s="75"/>
      <c r="K38" s="75"/>
      <c r="L38" s="75"/>
      <c r="M38" s="75"/>
    </row>
    <row r="39" spans="2:13" ht="13.35" customHeight="1" x14ac:dyDescent="0.25">
      <c r="B39" s="78"/>
      <c r="C39" s="77" t="s">
        <v>411</v>
      </c>
      <c r="I39" s="75"/>
      <c r="J39" s="75"/>
      <c r="K39" s="75"/>
      <c r="L39" s="75"/>
      <c r="M39" s="75"/>
    </row>
    <row r="40" spans="2:13" ht="13.35" customHeight="1" x14ac:dyDescent="0.25">
      <c r="B40" s="78"/>
      <c r="C40" s="77" t="s">
        <v>399</v>
      </c>
      <c r="I40" s="75"/>
      <c r="J40" s="75"/>
      <c r="K40" s="75"/>
      <c r="L40" s="75"/>
      <c r="M40" s="75"/>
    </row>
    <row r="41" spans="2:13" ht="13.35" customHeight="1" x14ac:dyDescent="0.25">
      <c r="B41" s="78"/>
      <c r="C41" s="77" t="s">
        <v>401</v>
      </c>
      <c r="I41" s="75"/>
      <c r="J41" s="75"/>
      <c r="K41" s="75"/>
      <c r="L41" s="75"/>
      <c r="M41" s="75"/>
    </row>
    <row r="42" spans="2:13" ht="13.35" customHeight="1" x14ac:dyDescent="0.25">
      <c r="B42" s="78"/>
      <c r="C42" s="77" t="s">
        <v>402</v>
      </c>
      <c r="I42" s="75"/>
      <c r="J42" s="75"/>
      <c r="K42" s="75"/>
      <c r="L42" s="75"/>
      <c r="M42" s="75"/>
    </row>
    <row r="43" spans="2:13" ht="13.35" customHeight="1" x14ac:dyDescent="0.25">
      <c r="B43" s="78"/>
      <c r="C43" s="77" t="s">
        <v>400</v>
      </c>
      <c r="I43" s="75"/>
      <c r="J43" s="75"/>
      <c r="K43" s="75"/>
      <c r="L43" s="75"/>
      <c r="M43" s="75"/>
    </row>
    <row r="44" spans="2:13" ht="13.35" customHeight="1" x14ac:dyDescent="0.25">
      <c r="B44" s="78"/>
      <c r="C44" s="77" t="s">
        <v>412</v>
      </c>
      <c r="I44" s="75"/>
      <c r="J44" s="75"/>
      <c r="K44" s="75"/>
      <c r="L44" s="75"/>
      <c r="M44" s="75"/>
    </row>
    <row r="45" spans="2:13" ht="13.35" customHeight="1" x14ac:dyDescent="0.25">
      <c r="B45" s="78"/>
      <c r="C45" s="77" t="s">
        <v>417</v>
      </c>
      <c r="I45" s="75"/>
      <c r="J45" s="75"/>
      <c r="K45" s="75"/>
      <c r="L45" s="75"/>
      <c r="M45" s="75"/>
    </row>
    <row r="46" spans="2:13" ht="13.35" customHeight="1" x14ac:dyDescent="0.25">
      <c r="B46" s="78"/>
      <c r="I46" s="75"/>
      <c r="J46" s="75"/>
      <c r="K46" s="75"/>
      <c r="L46" s="75"/>
      <c r="M46" s="75"/>
    </row>
    <row r="47" spans="2:13" ht="13.35" customHeight="1" x14ac:dyDescent="0.25">
      <c r="B47" s="78" t="s">
        <v>406</v>
      </c>
      <c r="I47" s="75"/>
      <c r="J47" s="75"/>
      <c r="K47" s="75"/>
      <c r="L47" s="75"/>
      <c r="M47" s="75"/>
    </row>
    <row r="48" spans="2:13" ht="13.35" customHeight="1" x14ac:dyDescent="0.25">
      <c r="I48" s="75"/>
      <c r="J48" s="75"/>
      <c r="K48" s="75"/>
      <c r="L48" s="75"/>
      <c r="M48" s="75"/>
    </row>
    <row r="49" spans="3:13" ht="13.35" customHeight="1" x14ac:dyDescent="0.25">
      <c r="C49" s="80" t="s">
        <v>403</v>
      </c>
      <c r="I49" s="75"/>
      <c r="J49" s="75"/>
      <c r="K49" s="75"/>
      <c r="L49" s="75"/>
      <c r="M49" s="75"/>
    </row>
    <row r="50" spans="3:13" ht="13.35" customHeight="1" x14ac:dyDescent="0.25">
      <c r="C50" s="80" t="s">
        <v>404</v>
      </c>
      <c r="I50" s="75"/>
      <c r="J50" s="75"/>
      <c r="K50" s="75"/>
      <c r="L50" s="75"/>
      <c r="M50" s="75"/>
    </row>
    <row r="51" spans="3:13" ht="13.35" customHeight="1" x14ac:dyDescent="0.25">
      <c r="C51" s="80" t="s">
        <v>405</v>
      </c>
      <c r="D51" s="80"/>
      <c r="I51" s="75"/>
      <c r="J51" s="75"/>
      <c r="K51" s="75"/>
      <c r="L51" s="75"/>
      <c r="M51" s="75"/>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05B0F-5253-4D34-BCBD-FFC52A43135D}">
  <sheetPr codeName="Sheet15"/>
  <dimension ref="A1:F592"/>
  <sheetViews>
    <sheetView showGridLines="0" zoomScaleNormal="100" zoomScaleSheetLayoutView="100" workbookViewId="0">
      <selection activeCell="H12" sqref="H12"/>
    </sheetView>
  </sheetViews>
  <sheetFormatPr defaultColWidth="10" defaultRowHeight="15" x14ac:dyDescent="0.25"/>
  <cols>
    <col min="1" max="1" width="4" style="183" customWidth="1"/>
    <col min="2" max="2" width="40.5703125" style="22" customWidth="1"/>
    <col min="3" max="3" width="2.42578125" style="22" customWidth="1"/>
    <col min="4" max="4" width="14.5703125" style="22" customWidth="1"/>
    <col min="5" max="5" width="10.140625" style="22" customWidth="1"/>
    <col min="6" max="6" width="13.42578125" style="75" customWidth="1"/>
    <col min="7" max="16384" width="10" style="183"/>
  </cols>
  <sheetData>
    <row r="1" spans="1:6" x14ac:dyDescent="0.25">
      <c r="A1" s="76" t="s">
        <v>368</v>
      </c>
    </row>
    <row r="2" spans="1:6" x14ac:dyDescent="0.25">
      <c r="A2" s="45" t="s">
        <v>369</v>
      </c>
    </row>
    <row r="3" spans="1:6" x14ac:dyDescent="0.25">
      <c r="A3" s="78" t="s">
        <v>370</v>
      </c>
    </row>
    <row r="4" spans="1:6" x14ac:dyDescent="0.25">
      <c r="A4" s="79" t="s">
        <v>379</v>
      </c>
    </row>
    <row r="6" spans="1:6" s="75" customFormat="1" x14ac:dyDescent="0.25">
      <c r="A6" s="1" t="s">
        <v>364</v>
      </c>
    </row>
    <row r="7" spans="1:6" s="75" customFormat="1" x14ac:dyDescent="0.25">
      <c r="A7" s="1" t="s">
        <v>132</v>
      </c>
    </row>
    <row r="8" spans="1:6" s="75" customFormat="1" x14ac:dyDescent="0.25">
      <c r="A8" s="1" t="s">
        <v>133</v>
      </c>
    </row>
    <row r="9" spans="1:6" x14ac:dyDescent="0.25">
      <c r="B9" s="183"/>
      <c r="C9" s="183"/>
      <c r="D9" s="183"/>
      <c r="E9" s="183"/>
    </row>
    <row r="10" spans="1:6" s="184" customFormat="1" ht="15.75" thickBot="1" x14ac:dyDescent="0.3">
      <c r="B10" s="185"/>
      <c r="C10" s="186"/>
      <c r="F10" s="75"/>
    </row>
    <row r="11" spans="1:6" x14ac:dyDescent="0.25">
      <c r="B11" s="443" t="s">
        <v>280</v>
      </c>
      <c r="C11" s="444"/>
      <c r="D11" s="444"/>
      <c r="E11" s="445"/>
    </row>
    <row r="12" spans="1:6" ht="15.75" thickBot="1" x14ac:dyDescent="0.3">
      <c r="B12" s="446" t="s">
        <v>134</v>
      </c>
      <c r="C12" s="447"/>
      <c r="D12" s="447"/>
      <c r="E12" s="448"/>
    </row>
    <row r="13" spans="1:6" s="192" customFormat="1" ht="15.75" thickBot="1" x14ac:dyDescent="0.3">
      <c r="A13" s="187"/>
      <c r="B13" s="188" t="s">
        <v>135</v>
      </c>
      <c r="C13" s="189"/>
      <c r="D13" s="190" t="s">
        <v>136</v>
      </c>
      <c r="E13" s="191" t="s">
        <v>137</v>
      </c>
      <c r="F13" s="75"/>
    </row>
    <row r="14" spans="1:6" x14ac:dyDescent="0.25">
      <c r="A14" s="193"/>
      <c r="B14" s="194" t="s">
        <v>138</v>
      </c>
      <c r="C14" s="195"/>
      <c r="D14" s="196">
        <f>'Tables 26a,b-MasterInputs'!I14</f>
        <v>0.05</v>
      </c>
      <c r="E14" s="197">
        <f>D14</f>
        <v>0.05</v>
      </c>
    </row>
    <row r="15" spans="1:6" x14ac:dyDescent="0.25">
      <c r="A15" s="193"/>
      <c r="B15" s="198" t="s">
        <v>139</v>
      </c>
      <c r="C15" s="199"/>
      <c r="D15" s="200">
        <f>'Tables 26a,b-MasterInputs'!I15</f>
        <v>0.2</v>
      </c>
      <c r="E15" s="13">
        <f>D15</f>
        <v>0.2</v>
      </c>
    </row>
    <row r="16" spans="1:6" x14ac:dyDescent="0.25">
      <c r="A16" s="193"/>
      <c r="B16" s="198" t="s">
        <v>140</v>
      </c>
      <c r="C16" s="199"/>
      <c r="D16" s="200">
        <f>'Tables 26a,b-MasterInputs'!I16</f>
        <v>1.2500000000000001E-2</v>
      </c>
      <c r="E16" s="13">
        <f>D16</f>
        <v>1.2500000000000001E-2</v>
      </c>
    </row>
    <row r="17" spans="1:6" x14ac:dyDescent="0.25">
      <c r="A17" s="193"/>
      <c r="B17" s="198" t="s">
        <v>281</v>
      </c>
      <c r="C17" s="199"/>
      <c r="D17" s="201">
        <f>'Tables 26a,b-MasterInputs'!I17</f>
        <v>1000</v>
      </c>
      <c r="E17" s="14"/>
    </row>
    <row r="18" spans="1:6" ht="15.75" thickBot="1" x14ac:dyDescent="0.3">
      <c r="A18" s="193"/>
      <c r="B18" s="198"/>
      <c r="C18" s="199"/>
      <c r="D18" s="201"/>
      <c r="E18" s="14"/>
    </row>
    <row r="19" spans="1:6" ht="15.75" thickBot="1" x14ac:dyDescent="0.3">
      <c r="A19" s="193"/>
      <c r="B19" s="437" t="s">
        <v>142</v>
      </c>
      <c r="C19" s="438"/>
      <c r="D19" s="438"/>
      <c r="E19" s="439"/>
    </row>
    <row r="20" spans="1:6" x14ac:dyDescent="0.25">
      <c r="A20" s="193"/>
      <c r="B20" s="198" t="s">
        <v>143</v>
      </c>
      <c r="D20" s="202">
        <f>'Tables 26a,b-MasterInputs'!I19*100</f>
        <v>5.7517450058914221</v>
      </c>
      <c r="E20" s="203" t="s">
        <v>144</v>
      </c>
    </row>
    <row r="21" spans="1:6" x14ac:dyDescent="0.25">
      <c r="A21" s="193"/>
      <c r="B21" s="198" t="s">
        <v>145</v>
      </c>
      <c r="D21" s="204">
        <v>0</v>
      </c>
      <c r="E21" s="203" t="s">
        <v>144</v>
      </c>
    </row>
    <row r="22" spans="1:6" x14ac:dyDescent="0.25">
      <c r="A22" s="193"/>
      <c r="B22" s="198" t="s">
        <v>146</v>
      </c>
      <c r="C22" s="199"/>
      <c r="D22" s="205">
        <f>'Tables 26a,b-MasterInputs'!I21*100</f>
        <v>100</v>
      </c>
      <c r="E22" s="203" t="s">
        <v>144</v>
      </c>
    </row>
    <row r="23" spans="1:6" x14ac:dyDescent="0.25">
      <c r="A23" s="193"/>
      <c r="B23" s="198" t="s">
        <v>147</v>
      </c>
      <c r="C23" s="199"/>
      <c r="D23" s="206">
        <v>1</v>
      </c>
      <c r="E23" s="207"/>
    </row>
    <row r="24" spans="1:6" ht="15.75" thickBot="1" x14ac:dyDescent="0.3">
      <c r="A24" s="193"/>
      <c r="B24" s="198"/>
      <c r="C24" s="199"/>
      <c r="D24" s="208"/>
      <c r="E24" s="207"/>
    </row>
    <row r="25" spans="1:6" ht="15.75" thickBot="1" x14ac:dyDescent="0.3">
      <c r="A25" s="193"/>
      <c r="B25" s="440" t="s">
        <v>148</v>
      </c>
      <c r="C25" s="441"/>
      <c r="D25" s="441"/>
      <c r="E25" s="442"/>
    </row>
    <row r="26" spans="1:6" x14ac:dyDescent="0.25">
      <c r="A26" s="193"/>
      <c r="B26" s="198" t="s">
        <v>149</v>
      </c>
      <c r="C26" s="199"/>
      <c r="D26" s="209">
        <f>D17</f>
        <v>1000</v>
      </c>
      <c r="E26" s="210">
        <f>(1+D20/D22)*D17</f>
        <v>1057.5174500589142</v>
      </c>
    </row>
    <row r="27" spans="1:6" x14ac:dyDescent="0.25">
      <c r="B27" s="198" t="s">
        <v>150</v>
      </c>
      <c r="C27" s="199"/>
      <c r="D27" s="211">
        <v>1000</v>
      </c>
      <c r="E27" s="14"/>
    </row>
    <row r="28" spans="1:6" s="213" customFormat="1" x14ac:dyDescent="0.25">
      <c r="A28" s="193"/>
      <c r="B28" s="137"/>
      <c r="C28" s="75"/>
      <c r="D28" s="75"/>
      <c r="E28" s="212"/>
      <c r="F28" s="75"/>
    </row>
    <row r="29" spans="1:6" x14ac:dyDescent="0.25">
      <c r="A29" s="193"/>
      <c r="B29" s="214" t="s">
        <v>151</v>
      </c>
      <c r="D29" s="215">
        <f>LN(D17/D26)</f>
        <v>0</v>
      </c>
      <c r="E29" s="216">
        <f>LN(D17/E26)</f>
        <v>-5.5924133039895935E-2</v>
      </c>
    </row>
    <row r="30" spans="1:6" x14ac:dyDescent="0.25">
      <c r="A30" s="193"/>
      <c r="B30" s="214" t="s">
        <v>152</v>
      </c>
      <c r="D30" s="215">
        <f>D23*(D14-D16+0.5*(D15^2))</f>
        <v>5.7500000000000009E-2</v>
      </c>
      <c r="E30" s="216">
        <f>D23*(E14-E16+0.5*(E15^2))</f>
        <v>5.7500000000000009E-2</v>
      </c>
    </row>
    <row r="31" spans="1:6" x14ac:dyDescent="0.25">
      <c r="A31" s="193"/>
      <c r="B31" s="214" t="s">
        <v>153</v>
      </c>
      <c r="D31" s="215">
        <f>D15*(D23^(1/2))</f>
        <v>0.2</v>
      </c>
      <c r="E31" s="216">
        <f>E15*(D23^(1/2))</f>
        <v>0.2</v>
      </c>
    </row>
    <row r="32" spans="1:6" x14ac:dyDescent="0.25">
      <c r="A32" s="193"/>
      <c r="B32" s="214" t="s">
        <v>154</v>
      </c>
      <c r="D32" s="215">
        <f>(D29+D30)/D31</f>
        <v>0.28750000000000003</v>
      </c>
      <c r="E32" s="216">
        <f>(E29+E30)/E31</f>
        <v>7.8793348005203739E-3</v>
      </c>
    </row>
    <row r="33" spans="1:5" x14ac:dyDescent="0.25">
      <c r="A33" s="193"/>
      <c r="B33" s="214" t="s">
        <v>155</v>
      </c>
      <c r="D33" s="215">
        <f>D32-D31</f>
        <v>8.7500000000000022E-2</v>
      </c>
      <c r="E33" s="216">
        <f>E32-E31</f>
        <v>-0.19212066519947962</v>
      </c>
    </row>
    <row r="34" spans="1:5" x14ac:dyDescent="0.25">
      <c r="A34" s="193"/>
      <c r="B34" s="214" t="s">
        <v>156</v>
      </c>
      <c r="D34" s="215">
        <f>NORMSDIST(D32)</f>
        <v>0.61313524903127314</v>
      </c>
      <c r="E34" s="216">
        <f>NORMSDIST(E32)</f>
        <v>0.50314336726790687</v>
      </c>
    </row>
    <row r="35" spans="1:5" x14ac:dyDescent="0.25">
      <c r="A35" s="193"/>
      <c r="B35" s="214" t="s">
        <v>157</v>
      </c>
      <c r="D35" s="215">
        <f>NORMSDIST(D33)</f>
        <v>0.53486295728371536</v>
      </c>
      <c r="E35" s="216">
        <f>NORMSDIST(E33)</f>
        <v>0.42382384397089345</v>
      </c>
    </row>
    <row r="36" spans="1:5" x14ac:dyDescent="0.25">
      <c r="A36" s="193"/>
      <c r="B36" s="214" t="s">
        <v>158</v>
      </c>
      <c r="D36" s="217">
        <f>D17*(EXP(-D16*D23))*D34</f>
        <v>605.51876064357305</v>
      </c>
      <c r="E36" s="218">
        <f>D17*(EXP(-E16*D23))*E34</f>
        <v>496.89321997952464</v>
      </c>
    </row>
    <row r="37" spans="1:5" x14ac:dyDescent="0.25">
      <c r="A37" s="193"/>
      <c r="B37" s="214" t="s">
        <v>159</v>
      </c>
      <c r="D37" s="217">
        <f>D26*(EXP(-D14*D23))*D35</f>
        <v>508.77738304373855</v>
      </c>
      <c r="E37" s="218">
        <f>E26*(EXP(-E14*D23))*E35</f>
        <v>426.34208463955662</v>
      </c>
    </row>
    <row r="38" spans="1:5" x14ac:dyDescent="0.25">
      <c r="A38" s="193"/>
      <c r="B38" s="214"/>
      <c r="E38" s="219"/>
    </row>
    <row r="39" spans="1:5" x14ac:dyDescent="0.25">
      <c r="A39" s="193"/>
      <c r="B39" s="214" t="s">
        <v>160</v>
      </c>
      <c r="D39" s="22">
        <f>D36-D37</f>
        <v>96.741377599834493</v>
      </c>
      <c r="E39" s="219">
        <f>E36-E37</f>
        <v>70.551135339968027</v>
      </c>
    </row>
    <row r="40" spans="1:5" x14ac:dyDescent="0.25">
      <c r="A40" s="193"/>
      <c r="B40" s="214" t="s">
        <v>161</v>
      </c>
      <c r="C40" s="220"/>
      <c r="D40" s="220">
        <f>D39-E39</f>
        <v>26.190242259866466</v>
      </c>
      <c r="E40" s="219"/>
    </row>
    <row r="41" spans="1:5" x14ac:dyDescent="0.25">
      <c r="A41" s="193"/>
      <c r="B41" s="214" t="s">
        <v>162</v>
      </c>
      <c r="C41" s="220"/>
      <c r="D41" s="220">
        <f>D40*(1+D14)^D23</f>
        <v>27.49975437285979</v>
      </c>
      <c r="E41" s="219"/>
    </row>
    <row r="42" spans="1:5" ht="15.75" thickBot="1" x14ac:dyDescent="0.3">
      <c r="A42" s="193"/>
      <c r="B42" s="214"/>
      <c r="E42" s="219"/>
    </row>
    <row r="43" spans="1:5" ht="15.75" thickBot="1" x14ac:dyDescent="0.3">
      <c r="A43" s="193"/>
      <c r="B43" s="440" t="s">
        <v>163</v>
      </c>
      <c r="C43" s="441"/>
      <c r="D43" s="441"/>
      <c r="E43" s="442"/>
    </row>
    <row r="44" spans="1:5" x14ac:dyDescent="0.25">
      <c r="A44" s="193"/>
      <c r="B44" s="198" t="s">
        <v>164</v>
      </c>
      <c r="C44" s="199"/>
      <c r="D44" s="221">
        <f>D40/D27*100</f>
        <v>2.6190242259866463</v>
      </c>
      <c r="E44" s="222" t="s">
        <v>144</v>
      </c>
    </row>
    <row r="45" spans="1:5" ht="15.75" thickBot="1" x14ac:dyDescent="0.3">
      <c r="A45" s="193"/>
      <c r="B45" s="223" t="s">
        <v>165</v>
      </c>
      <c r="C45" s="224"/>
      <c r="D45" s="225">
        <f>D44*(1+D14)</f>
        <v>2.7499754372859786</v>
      </c>
      <c r="E45" s="226" t="s">
        <v>144</v>
      </c>
    </row>
    <row r="46" spans="1:5" x14ac:dyDescent="0.25">
      <c r="A46" s="193"/>
      <c r="B46" s="183"/>
      <c r="C46" s="183"/>
      <c r="D46" s="183"/>
      <c r="E46" s="227"/>
    </row>
    <row r="47" spans="1:5" x14ac:dyDescent="0.25">
      <c r="A47" s="193"/>
      <c r="B47" s="183"/>
      <c r="C47" s="183"/>
      <c r="D47" s="183"/>
      <c r="E47" s="228"/>
    </row>
    <row r="48" spans="1:5" x14ac:dyDescent="0.25">
      <c r="A48" s="193"/>
      <c r="B48" s="229"/>
      <c r="C48" s="186"/>
      <c r="D48" s="230"/>
      <c r="E48" s="231"/>
    </row>
    <row r="49" spans="1:5" x14ac:dyDescent="0.25">
      <c r="A49" s="193"/>
      <c r="B49" s="229"/>
      <c r="C49" s="186"/>
      <c r="D49" s="230"/>
      <c r="E49" s="231"/>
    </row>
    <row r="50" spans="1:5" x14ac:dyDescent="0.25">
      <c r="A50" s="193"/>
      <c r="B50" s="229"/>
      <c r="C50" s="186"/>
      <c r="D50" s="232"/>
      <c r="E50" s="231"/>
    </row>
    <row r="51" spans="1:5" x14ac:dyDescent="0.25">
      <c r="A51" s="193"/>
      <c r="B51" s="229"/>
      <c r="C51" s="186"/>
      <c r="D51" s="233"/>
      <c r="E51" s="231"/>
    </row>
    <row r="52" spans="1:5" x14ac:dyDescent="0.25">
      <c r="A52" s="193"/>
      <c r="B52" s="229"/>
      <c r="C52" s="186"/>
      <c r="D52" s="186"/>
      <c r="E52" s="231"/>
    </row>
    <row r="53" spans="1:5" x14ac:dyDescent="0.25">
      <c r="A53" s="193"/>
      <c r="B53" s="229"/>
      <c r="C53" s="186"/>
      <c r="D53" s="186"/>
      <c r="E53" s="231"/>
    </row>
    <row r="54" spans="1:5" x14ac:dyDescent="0.25">
      <c r="A54" s="193"/>
      <c r="B54" s="229"/>
      <c r="C54" s="186"/>
      <c r="D54" s="186"/>
      <c r="E54" s="231"/>
    </row>
    <row r="55" spans="1:5" x14ac:dyDescent="0.25">
      <c r="A55" s="193"/>
      <c r="B55" s="229"/>
      <c r="C55" s="186"/>
      <c r="D55" s="186"/>
      <c r="E55" s="231"/>
    </row>
    <row r="56" spans="1:5" x14ac:dyDescent="0.25">
      <c r="A56" s="193"/>
      <c r="B56" s="229"/>
      <c r="C56" s="186"/>
      <c r="D56" s="186"/>
      <c r="E56" s="231"/>
    </row>
    <row r="57" spans="1:5" x14ac:dyDescent="0.25">
      <c r="A57" s="193"/>
      <c r="B57" s="229"/>
      <c r="C57" s="186"/>
      <c r="D57" s="186"/>
      <c r="E57" s="231"/>
    </row>
    <row r="58" spans="1:5" x14ac:dyDescent="0.25">
      <c r="A58" s="193"/>
      <c r="B58" s="229"/>
      <c r="C58" s="186"/>
      <c r="D58" s="186"/>
      <c r="E58" s="231"/>
    </row>
    <row r="59" spans="1:5" x14ac:dyDescent="0.25">
      <c r="A59" s="193"/>
      <c r="B59" s="229"/>
      <c r="C59" s="186"/>
      <c r="D59" s="186"/>
      <c r="E59" s="231"/>
    </row>
    <row r="60" spans="1:5" x14ac:dyDescent="0.25">
      <c r="A60" s="193"/>
      <c r="B60" s="229"/>
      <c r="C60" s="186"/>
      <c r="D60" s="186"/>
      <c r="E60" s="231"/>
    </row>
    <row r="61" spans="1:5" x14ac:dyDescent="0.25">
      <c r="A61" s="193"/>
      <c r="B61" s="229"/>
      <c r="C61" s="186"/>
      <c r="D61" s="186"/>
      <c r="E61" s="231"/>
    </row>
    <row r="62" spans="1:5" x14ac:dyDescent="0.25">
      <c r="A62" s="193"/>
      <c r="B62" s="229"/>
      <c r="C62" s="186"/>
      <c r="D62" s="186"/>
      <c r="E62" s="231"/>
    </row>
    <row r="63" spans="1:5" x14ac:dyDescent="0.25">
      <c r="A63" s="193"/>
      <c r="B63" s="229"/>
      <c r="C63" s="186"/>
      <c r="D63" s="186"/>
      <c r="E63" s="231"/>
    </row>
    <row r="64" spans="1:5" x14ac:dyDescent="0.25">
      <c r="A64" s="193"/>
      <c r="B64" s="229"/>
      <c r="C64" s="186"/>
      <c r="D64" s="186"/>
      <c r="E64" s="231"/>
    </row>
    <row r="65" spans="1:5" x14ac:dyDescent="0.25">
      <c r="A65" s="193"/>
      <c r="B65" s="229"/>
      <c r="C65" s="186"/>
      <c r="D65" s="186"/>
      <c r="E65" s="231"/>
    </row>
    <row r="66" spans="1:5" x14ac:dyDescent="0.25">
      <c r="A66" s="193"/>
      <c r="B66" s="229"/>
      <c r="C66" s="186"/>
      <c r="D66" s="186"/>
      <c r="E66" s="231"/>
    </row>
    <row r="67" spans="1:5" x14ac:dyDescent="0.25">
      <c r="A67" s="193"/>
      <c r="B67" s="229"/>
      <c r="C67" s="186"/>
      <c r="D67" s="186"/>
      <c r="E67" s="231"/>
    </row>
    <row r="68" spans="1:5" x14ac:dyDescent="0.25">
      <c r="A68" s="193"/>
      <c r="B68" s="229"/>
      <c r="C68" s="186"/>
      <c r="D68" s="186"/>
      <c r="E68" s="231"/>
    </row>
    <row r="69" spans="1:5" x14ac:dyDescent="0.25">
      <c r="A69" s="193"/>
      <c r="B69" s="229"/>
      <c r="C69" s="186"/>
      <c r="D69" s="186"/>
      <c r="E69" s="231"/>
    </row>
    <row r="70" spans="1:5" x14ac:dyDescent="0.25">
      <c r="A70" s="193"/>
      <c r="B70" s="229"/>
      <c r="C70" s="186"/>
      <c r="D70" s="186"/>
      <c r="E70" s="231"/>
    </row>
    <row r="71" spans="1:5" x14ac:dyDescent="0.25">
      <c r="A71" s="193"/>
      <c r="B71" s="229"/>
      <c r="C71" s="186"/>
      <c r="D71" s="186"/>
      <c r="E71" s="231"/>
    </row>
    <row r="72" spans="1:5" x14ac:dyDescent="0.25">
      <c r="A72" s="193"/>
      <c r="B72" s="229"/>
      <c r="C72" s="186"/>
      <c r="D72" s="186"/>
      <c r="E72" s="231"/>
    </row>
    <row r="73" spans="1:5" x14ac:dyDescent="0.25">
      <c r="A73" s="193"/>
      <c r="B73" s="229"/>
      <c r="C73" s="186"/>
      <c r="D73" s="186"/>
      <c r="E73" s="231"/>
    </row>
    <row r="74" spans="1:5" x14ac:dyDescent="0.25">
      <c r="A74" s="193"/>
      <c r="B74" s="229"/>
      <c r="C74" s="186"/>
      <c r="D74" s="186"/>
      <c r="E74" s="231"/>
    </row>
    <row r="75" spans="1:5" x14ac:dyDescent="0.25">
      <c r="A75" s="193"/>
      <c r="B75" s="229"/>
      <c r="C75" s="186"/>
      <c r="D75" s="186"/>
      <c r="E75" s="231"/>
    </row>
    <row r="76" spans="1:5" x14ac:dyDescent="0.25">
      <c r="A76" s="193"/>
      <c r="B76" s="229"/>
      <c r="C76" s="186"/>
      <c r="D76" s="186"/>
      <c r="E76" s="231"/>
    </row>
    <row r="77" spans="1:5" x14ac:dyDescent="0.25">
      <c r="A77" s="193"/>
      <c r="B77" s="229"/>
      <c r="C77" s="186"/>
      <c r="D77" s="186"/>
      <c r="E77" s="231"/>
    </row>
    <row r="78" spans="1:5" x14ac:dyDescent="0.25">
      <c r="A78" s="193"/>
      <c r="B78" s="229"/>
      <c r="C78" s="186"/>
      <c r="D78" s="186"/>
      <c r="E78" s="231"/>
    </row>
    <row r="79" spans="1:5" x14ac:dyDescent="0.25">
      <c r="A79" s="193"/>
      <c r="B79" s="229"/>
      <c r="C79" s="186"/>
      <c r="D79" s="186"/>
      <c r="E79" s="231"/>
    </row>
    <row r="80" spans="1:5" x14ac:dyDescent="0.25">
      <c r="A80" s="193"/>
      <c r="B80" s="229"/>
      <c r="C80" s="186"/>
      <c r="D80" s="186"/>
      <c r="E80" s="231"/>
    </row>
    <row r="81" spans="1:5" x14ac:dyDescent="0.25">
      <c r="A81" s="193"/>
      <c r="B81" s="229"/>
      <c r="C81" s="186"/>
      <c r="D81" s="186"/>
      <c r="E81" s="231"/>
    </row>
    <row r="82" spans="1:5" x14ac:dyDescent="0.25">
      <c r="A82" s="193"/>
      <c r="B82" s="229"/>
      <c r="C82" s="186"/>
      <c r="D82" s="186"/>
      <c r="E82" s="231"/>
    </row>
    <row r="83" spans="1:5" x14ac:dyDescent="0.25">
      <c r="A83" s="193"/>
      <c r="B83" s="229"/>
      <c r="C83" s="186"/>
      <c r="D83" s="186"/>
      <c r="E83" s="231"/>
    </row>
    <row r="84" spans="1:5" x14ac:dyDescent="0.25">
      <c r="A84" s="193"/>
      <c r="B84" s="229"/>
      <c r="C84" s="186"/>
      <c r="D84" s="186"/>
      <c r="E84" s="231"/>
    </row>
    <row r="85" spans="1:5" x14ac:dyDescent="0.25">
      <c r="A85" s="193"/>
      <c r="B85" s="229"/>
      <c r="C85" s="186"/>
      <c r="D85" s="186"/>
      <c r="E85" s="231"/>
    </row>
    <row r="86" spans="1:5" x14ac:dyDescent="0.25">
      <c r="A86" s="193"/>
      <c r="B86" s="229"/>
      <c r="C86" s="186"/>
      <c r="D86" s="186"/>
      <c r="E86" s="231"/>
    </row>
    <row r="87" spans="1:5" x14ac:dyDescent="0.25">
      <c r="A87" s="193"/>
      <c r="B87" s="229"/>
      <c r="C87" s="186"/>
      <c r="D87" s="186"/>
      <c r="E87" s="231"/>
    </row>
    <row r="88" spans="1:5" x14ac:dyDescent="0.25">
      <c r="A88" s="193"/>
      <c r="B88" s="229"/>
      <c r="C88" s="186"/>
      <c r="D88" s="186"/>
      <c r="E88" s="231"/>
    </row>
    <row r="89" spans="1:5" x14ac:dyDescent="0.25">
      <c r="A89" s="193"/>
      <c r="B89" s="229"/>
      <c r="C89" s="186"/>
      <c r="D89" s="186"/>
      <c r="E89" s="231"/>
    </row>
    <row r="90" spans="1:5" x14ac:dyDescent="0.25">
      <c r="A90" s="193"/>
      <c r="B90" s="229"/>
      <c r="C90" s="186"/>
      <c r="D90" s="186"/>
      <c r="E90" s="231"/>
    </row>
    <row r="91" spans="1:5" x14ac:dyDescent="0.25">
      <c r="A91" s="193"/>
      <c r="B91" s="229"/>
      <c r="C91" s="186"/>
      <c r="D91" s="186"/>
      <c r="E91" s="231"/>
    </row>
    <row r="92" spans="1:5" x14ac:dyDescent="0.25">
      <c r="A92" s="193"/>
      <c r="B92" s="229"/>
      <c r="C92" s="186"/>
      <c r="D92" s="186"/>
      <c r="E92" s="231"/>
    </row>
    <row r="93" spans="1:5" x14ac:dyDescent="0.25">
      <c r="A93" s="193"/>
      <c r="B93" s="229"/>
      <c r="C93" s="186"/>
      <c r="D93" s="186"/>
      <c r="E93" s="231"/>
    </row>
    <row r="94" spans="1:5" x14ac:dyDescent="0.25">
      <c r="A94" s="193"/>
      <c r="B94" s="229"/>
      <c r="C94" s="186"/>
      <c r="D94" s="186"/>
      <c r="E94" s="231"/>
    </row>
    <row r="95" spans="1:5" x14ac:dyDescent="0.25">
      <c r="A95" s="193"/>
      <c r="B95" s="229"/>
      <c r="C95" s="186"/>
      <c r="D95" s="186"/>
      <c r="E95" s="231"/>
    </row>
    <row r="96" spans="1:5" x14ac:dyDescent="0.25">
      <c r="A96" s="193"/>
      <c r="B96" s="229"/>
      <c r="C96" s="186"/>
      <c r="D96" s="186"/>
      <c r="E96" s="231"/>
    </row>
    <row r="97" spans="1:5" x14ac:dyDescent="0.25">
      <c r="A97" s="193"/>
      <c r="B97" s="229"/>
      <c r="C97" s="186"/>
      <c r="D97" s="186"/>
      <c r="E97" s="231"/>
    </row>
    <row r="98" spans="1:5" x14ac:dyDescent="0.25">
      <c r="A98" s="193"/>
      <c r="B98" s="229"/>
      <c r="C98" s="186"/>
      <c r="D98" s="186"/>
      <c r="E98" s="231"/>
    </row>
    <row r="99" spans="1:5" x14ac:dyDescent="0.25">
      <c r="A99" s="193"/>
      <c r="B99" s="229"/>
      <c r="C99" s="186"/>
      <c r="D99" s="186"/>
      <c r="E99" s="231"/>
    </row>
    <row r="100" spans="1:5" x14ac:dyDescent="0.25">
      <c r="A100" s="193"/>
      <c r="B100" s="229"/>
      <c r="C100" s="186"/>
      <c r="D100" s="186"/>
      <c r="E100" s="231"/>
    </row>
    <row r="101" spans="1:5" x14ac:dyDescent="0.25">
      <c r="A101" s="193"/>
      <c r="B101" s="229"/>
      <c r="C101" s="186"/>
      <c r="D101" s="186"/>
      <c r="E101" s="231"/>
    </row>
    <row r="102" spans="1:5" x14ac:dyDescent="0.25">
      <c r="A102" s="193"/>
      <c r="B102" s="229"/>
      <c r="C102" s="186"/>
      <c r="D102" s="186"/>
      <c r="E102" s="231"/>
    </row>
    <row r="103" spans="1:5" x14ac:dyDescent="0.25">
      <c r="A103" s="193"/>
      <c r="B103" s="229"/>
      <c r="C103" s="186"/>
      <c r="D103" s="186"/>
      <c r="E103" s="231"/>
    </row>
    <row r="104" spans="1:5" x14ac:dyDescent="0.25">
      <c r="A104" s="193"/>
      <c r="B104" s="229"/>
      <c r="C104" s="186"/>
      <c r="D104" s="186"/>
      <c r="E104" s="231"/>
    </row>
    <row r="105" spans="1:5" x14ac:dyDescent="0.25">
      <c r="A105" s="193"/>
      <c r="B105" s="229"/>
      <c r="C105" s="186"/>
      <c r="D105" s="186"/>
      <c r="E105" s="231"/>
    </row>
    <row r="106" spans="1:5" x14ac:dyDescent="0.25">
      <c r="A106" s="193"/>
      <c r="B106" s="229"/>
      <c r="C106" s="186"/>
      <c r="D106" s="186"/>
      <c r="E106" s="231"/>
    </row>
    <row r="107" spans="1:5" x14ac:dyDescent="0.25">
      <c r="A107" s="193"/>
      <c r="B107" s="229"/>
      <c r="C107" s="186"/>
      <c r="D107" s="186"/>
      <c r="E107" s="231"/>
    </row>
    <row r="108" spans="1:5" x14ac:dyDescent="0.25">
      <c r="A108" s="193"/>
      <c r="B108" s="229"/>
      <c r="C108" s="186"/>
      <c r="D108" s="186"/>
      <c r="E108" s="231"/>
    </row>
    <row r="109" spans="1:5" x14ac:dyDescent="0.25">
      <c r="A109" s="193"/>
      <c r="B109" s="229"/>
      <c r="C109" s="186"/>
      <c r="D109" s="186"/>
      <c r="E109" s="231"/>
    </row>
    <row r="110" spans="1:5" x14ac:dyDescent="0.25">
      <c r="A110" s="193"/>
      <c r="B110" s="229"/>
      <c r="C110" s="186"/>
      <c r="D110" s="186"/>
      <c r="E110" s="231"/>
    </row>
    <row r="111" spans="1:5" x14ac:dyDescent="0.25">
      <c r="A111" s="193"/>
      <c r="B111" s="229"/>
      <c r="C111" s="186"/>
      <c r="D111" s="186"/>
      <c r="E111" s="231"/>
    </row>
    <row r="112" spans="1:5" x14ac:dyDescent="0.25">
      <c r="A112" s="193"/>
      <c r="B112" s="229"/>
      <c r="C112" s="186"/>
      <c r="D112" s="186"/>
      <c r="E112" s="231"/>
    </row>
    <row r="113" spans="1:5" x14ac:dyDescent="0.25">
      <c r="A113" s="193"/>
      <c r="B113" s="229"/>
      <c r="C113" s="186"/>
      <c r="D113" s="186"/>
      <c r="E113" s="231"/>
    </row>
    <row r="114" spans="1:5" x14ac:dyDescent="0.25">
      <c r="A114" s="193"/>
      <c r="B114" s="229"/>
      <c r="C114" s="186"/>
      <c r="D114" s="186"/>
      <c r="E114" s="231"/>
    </row>
    <row r="115" spans="1:5" x14ac:dyDescent="0.25">
      <c r="A115" s="193"/>
      <c r="B115" s="229"/>
      <c r="C115" s="186"/>
      <c r="D115" s="186"/>
      <c r="E115" s="231"/>
    </row>
    <row r="116" spans="1:5" x14ac:dyDescent="0.25">
      <c r="A116" s="193"/>
      <c r="B116" s="229"/>
      <c r="C116" s="186"/>
      <c r="D116" s="186"/>
      <c r="E116" s="231"/>
    </row>
    <row r="117" spans="1:5" x14ac:dyDescent="0.25">
      <c r="A117" s="193"/>
      <c r="B117" s="229"/>
      <c r="C117" s="186"/>
      <c r="D117" s="186"/>
      <c r="E117" s="231"/>
    </row>
    <row r="118" spans="1:5" x14ac:dyDescent="0.25">
      <c r="A118" s="193"/>
      <c r="B118" s="229"/>
      <c r="C118" s="186"/>
      <c r="D118" s="186"/>
      <c r="E118" s="231"/>
    </row>
    <row r="119" spans="1:5" x14ac:dyDescent="0.25">
      <c r="A119" s="193"/>
      <c r="B119" s="229"/>
      <c r="C119" s="186"/>
      <c r="D119" s="186"/>
      <c r="E119" s="231"/>
    </row>
    <row r="120" spans="1:5" x14ac:dyDescent="0.25">
      <c r="A120" s="193"/>
      <c r="B120" s="229"/>
      <c r="C120" s="186"/>
      <c r="D120" s="186"/>
      <c r="E120" s="231"/>
    </row>
    <row r="121" spans="1:5" x14ac:dyDescent="0.25">
      <c r="A121" s="193"/>
      <c r="B121" s="229"/>
      <c r="C121" s="186"/>
      <c r="D121" s="186"/>
      <c r="E121" s="231"/>
    </row>
    <row r="122" spans="1:5" x14ac:dyDescent="0.25">
      <c r="A122" s="193"/>
      <c r="B122" s="229"/>
      <c r="C122" s="186"/>
      <c r="D122" s="186"/>
      <c r="E122" s="231"/>
    </row>
    <row r="123" spans="1:5" x14ac:dyDescent="0.25">
      <c r="A123" s="193"/>
      <c r="B123" s="229"/>
      <c r="C123" s="186"/>
      <c r="D123" s="186"/>
      <c r="E123" s="231"/>
    </row>
    <row r="124" spans="1:5" x14ac:dyDescent="0.25">
      <c r="A124" s="193"/>
      <c r="B124" s="229"/>
      <c r="C124" s="186"/>
      <c r="D124" s="186"/>
      <c r="E124" s="231"/>
    </row>
    <row r="125" spans="1:5" x14ac:dyDescent="0.25">
      <c r="A125" s="193"/>
      <c r="B125" s="229"/>
      <c r="C125" s="186"/>
      <c r="D125" s="186"/>
      <c r="E125" s="231"/>
    </row>
    <row r="126" spans="1:5" x14ac:dyDescent="0.25">
      <c r="A126" s="193"/>
      <c r="B126" s="229"/>
      <c r="C126" s="186"/>
      <c r="D126" s="186"/>
      <c r="E126" s="231"/>
    </row>
    <row r="127" spans="1:5" x14ac:dyDescent="0.25">
      <c r="A127" s="193"/>
      <c r="B127" s="229"/>
      <c r="C127" s="186"/>
      <c r="D127" s="186"/>
      <c r="E127" s="231"/>
    </row>
    <row r="128" spans="1:5" x14ac:dyDescent="0.25">
      <c r="A128" s="193"/>
      <c r="B128" s="229"/>
      <c r="C128" s="186"/>
      <c r="D128" s="186"/>
      <c r="E128" s="231"/>
    </row>
    <row r="129" spans="1:5" x14ac:dyDescent="0.25">
      <c r="A129" s="193"/>
      <c r="B129" s="229"/>
      <c r="C129" s="186"/>
      <c r="D129" s="186"/>
      <c r="E129" s="231"/>
    </row>
    <row r="130" spans="1:5" x14ac:dyDescent="0.25">
      <c r="A130" s="193"/>
      <c r="B130" s="229"/>
      <c r="C130" s="186"/>
      <c r="D130" s="186"/>
      <c r="E130" s="231"/>
    </row>
    <row r="131" spans="1:5" x14ac:dyDescent="0.25">
      <c r="A131" s="193"/>
      <c r="B131" s="229"/>
      <c r="C131" s="186"/>
      <c r="D131" s="186"/>
      <c r="E131" s="231"/>
    </row>
    <row r="132" spans="1:5" x14ac:dyDescent="0.25">
      <c r="A132" s="193"/>
      <c r="B132" s="229"/>
      <c r="C132" s="186"/>
      <c r="D132" s="186"/>
      <c r="E132" s="231"/>
    </row>
    <row r="133" spans="1:5" x14ac:dyDescent="0.25">
      <c r="A133" s="193"/>
      <c r="B133" s="229"/>
      <c r="C133" s="186"/>
      <c r="D133" s="186"/>
      <c r="E133" s="231"/>
    </row>
    <row r="134" spans="1:5" x14ac:dyDescent="0.25">
      <c r="A134" s="193"/>
      <c r="B134" s="229"/>
      <c r="C134" s="186"/>
      <c r="D134" s="186"/>
      <c r="E134" s="231"/>
    </row>
    <row r="135" spans="1:5" x14ac:dyDescent="0.25">
      <c r="A135" s="193"/>
      <c r="B135" s="229"/>
      <c r="C135" s="186"/>
      <c r="D135" s="186"/>
      <c r="E135" s="231"/>
    </row>
    <row r="136" spans="1:5" x14ac:dyDescent="0.25">
      <c r="A136" s="193"/>
      <c r="B136" s="229"/>
      <c r="C136" s="186"/>
      <c r="D136" s="186"/>
      <c r="E136" s="231"/>
    </row>
    <row r="137" spans="1:5" x14ac:dyDescent="0.25">
      <c r="A137" s="193"/>
      <c r="B137" s="229"/>
      <c r="C137" s="186"/>
      <c r="D137" s="186"/>
      <c r="E137" s="231"/>
    </row>
    <row r="138" spans="1:5" x14ac:dyDescent="0.25">
      <c r="A138" s="193"/>
      <c r="B138" s="229"/>
      <c r="C138" s="186"/>
      <c r="D138" s="186"/>
      <c r="E138" s="231"/>
    </row>
    <row r="139" spans="1:5" x14ac:dyDescent="0.25">
      <c r="A139" s="193"/>
      <c r="B139" s="229"/>
      <c r="C139" s="186"/>
      <c r="D139" s="186"/>
      <c r="E139" s="231"/>
    </row>
    <row r="140" spans="1:5" x14ac:dyDescent="0.25">
      <c r="A140" s="193"/>
      <c r="B140" s="229"/>
      <c r="C140" s="186"/>
      <c r="D140" s="186"/>
      <c r="E140" s="231"/>
    </row>
    <row r="141" spans="1:5" x14ac:dyDescent="0.25">
      <c r="A141" s="193"/>
      <c r="B141" s="229"/>
      <c r="C141" s="186"/>
      <c r="D141" s="186"/>
      <c r="E141" s="231"/>
    </row>
    <row r="142" spans="1:5" x14ac:dyDescent="0.25">
      <c r="A142" s="193"/>
      <c r="B142" s="229"/>
      <c r="C142" s="186"/>
      <c r="D142" s="186"/>
      <c r="E142" s="231"/>
    </row>
    <row r="143" spans="1:5" x14ac:dyDescent="0.25">
      <c r="A143" s="193"/>
      <c r="B143" s="229"/>
      <c r="C143" s="186"/>
      <c r="D143" s="186"/>
      <c r="E143" s="231"/>
    </row>
    <row r="144" spans="1:5" x14ac:dyDescent="0.25">
      <c r="A144" s="193"/>
      <c r="B144" s="229"/>
      <c r="C144" s="186"/>
      <c r="D144" s="186"/>
      <c r="E144" s="231"/>
    </row>
    <row r="145" spans="1:5" x14ac:dyDescent="0.25">
      <c r="A145" s="193"/>
      <c r="B145" s="229"/>
      <c r="C145" s="186"/>
      <c r="D145" s="186"/>
      <c r="E145" s="231"/>
    </row>
    <row r="146" spans="1:5" x14ac:dyDescent="0.25">
      <c r="A146" s="193"/>
      <c r="B146" s="229"/>
      <c r="C146" s="186"/>
      <c r="D146" s="186"/>
      <c r="E146" s="231"/>
    </row>
    <row r="147" spans="1:5" x14ac:dyDescent="0.25">
      <c r="A147" s="193"/>
      <c r="B147" s="229"/>
      <c r="C147" s="186"/>
      <c r="D147" s="186"/>
      <c r="E147" s="231"/>
    </row>
    <row r="148" spans="1:5" x14ac:dyDescent="0.25">
      <c r="A148" s="193"/>
      <c r="B148" s="229"/>
      <c r="C148" s="186"/>
      <c r="D148" s="186"/>
      <c r="E148" s="231"/>
    </row>
    <row r="149" spans="1:5" x14ac:dyDescent="0.25">
      <c r="A149" s="193"/>
      <c r="B149" s="229"/>
      <c r="C149" s="186"/>
      <c r="D149" s="186"/>
      <c r="E149" s="231"/>
    </row>
    <row r="150" spans="1:5" x14ac:dyDescent="0.25">
      <c r="A150" s="193"/>
      <c r="B150" s="229"/>
      <c r="C150" s="186"/>
      <c r="D150" s="186"/>
      <c r="E150" s="231"/>
    </row>
    <row r="151" spans="1:5" x14ac:dyDescent="0.25">
      <c r="A151" s="193"/>
      <c r="B151" s="229"/>
      <c r="C151" s="186"/>
      <c r="D151" s="186"/>
      <c r="E151" s="231"/>
    </row>
    <row r="152" spans="1:5" x14ac:dyDescent="0.25">
      <c r="A152" s="193"/>
      <c r="B152" s="229"/>
      <c r="C152" s="186"/>
      <c r="D152" s="186"/>
      <c r="E152" s="231"/>
    </row>
    <row r="153" spans="1:5" x14ac:dyDescent="0.25">
      <c r="A153" s="193"/>
      <c r="B153" s="229"/>
      <c r="C153" s="186"/>
      <c r="D153" s="186"/>
      <c r="E153" s="231"/>
    </row>
    <row r="154" spans="1:5" x14ac:dyDescent="0.25">
      <c r="A154" s="193"/>
      <c r="B154" s="229"/>
      <c r="C154" s="186"/>
      <c r="D154" s="186"/>
      <c r="E154" s="231"/>
    </row>
    <row r="155" spans="1:5" x14ac:dyDescent="0.25">
      <c r="A155" s="193"/>
      <c r="B155" s="229"/>
      <c r="C155" s="186"/>
      <c r="D155" s="186"/>
      <c r="E155" s="231"/>
    </row>
    <row r="156" spans="1:5" x14ac:dyDescent="0.25">
      <c r="A156" s="193"/>
      <c r="B156" s="229"/>
      <c r="C156" s="186"/>
      <c r="D156" s="186"/>
      <c r="E156" s="231"/>
    </row>
    <row r="157" spans="1:5" x14ac:dyDescent="0.25">
      <c r="A157" s="193"/>
      <c r="B157" s="229"/>
      <c r="C157" s="186"/>
      <c r="D157" s="186"/>
      <c r="E157" s="231"/>
    </row>
    <row r="158" spans="1:5" x14ac:dyDescent="0.25">
      <c r="A158" s="193"/>
      <c r="B158" s="229"/>
      <c r="C158" s="186"/>
      <c r="D158" s="186"/>
      <c r="E158" s="231"/>
    </row>
    <row r="159" spans="1:5" x14ac:dyDescent="0.25">
      <c r="A159" s="193"/>
      <c r="B159" s="229"/>
      <c r="C159" s="186"/>
      <c r="D159" s="186"/>
      <c r="E159" s="231"/>
    </row>
    <row r="160" spans="1:5" x14ac:dyDescent="0.25">
      <c r="A160" s="193"/>
      <c r="B160" s="229"/>
      <c r="C160" s="186"/>
      <c r="D160" s="186"/>
      <c r="E160" s="231"/>
    </row>
    <row r="161" spans="1:5" x14ac:dyDescent="0.25">
      <c r="A161" s="193"/>
      <c r="B161" s="229"/>
      <c r="C161" s="186"/>
      <c r="D161" s="186"/>
      <c r="E161" s="231"/>
    </row>
    <row r="162" spans="1:5" x14ac:dyDescent="0.25">
      <c r="A162" s="193"/>
      <c r="B162" s="229"/>
      <c r="C162" s="186"/>
      <c r="D162" s="186"/>
      <c r="E162" s="231"/>
    </row>
    <row r="163" spans="1:5" x14ac:dyDescent="0.25">
      <c r="A163" s="193"/>
      <c r="B163" s="229"/>
      <c r="C163" s="186"/>
      <c r="D163" s="186"/>
      <c r="E163" s="231"/>
    </row>
    <row r="164" spans="1:5" x14ac:dyDescent="0.25">
      <c r="A164" s="193"/>
      <c r="B164" s="229"/>
      <c r="C164" s="186"/>
      <c r="D164" s="186"/>
      <c r="E164" s="231"/>
    </row>
    <row r="165" spans="1:5" x14ac:dyDescent="0.25">
      <c r="A165" s="193"/>
      <c r="B165" s="229"/>
      <c r="C165" s="186"/>
      <c r="D165" s="186"/>
      <c r="E165" s="231"/>
    </row>
    <row r="166" spans="1:5" x14ac:dyDescent="0.25">
      <c r="A166" s="193"/>
      <c r="B166" s="229"/>
      <c r="C166" s="186"/>
      <c r="D166" s="186"/>
      <c r="E166" s="231"/>
    </row>
    <row r="167" spans="1:5" x14ac:dyDescent="0.25">
      <c r="A167" s="193"/>
      <c r="B167" s="229"/>
      <c r="C167" s="186"/>
      <c r="D167" s="186"/>
      <c r="E167" s="231"/>
    </row>
    <row r="168" spans="1:5" x14ac:dyDescent="0.25">
      <c r="A168" s="193"/>
      <c r="B168" s="229"/>
      <c r="C168" s="186"/>
      <c r="D168" s="186"/>
      <c r="E168" s="231"/>
    </row>
    <row r="169" spans="1:5" x14ac:dyDescent="0.25">
      <c r="A169" s="193"/>
      <c r="B169" s="229"/>
      <c r="C169" s="186"/>
      <c r="D169" s="186"/>
      <c r="E169" s="231"/>
    </row>
    <row r="170" spans="1:5" x14ac:dyDescent="0.25">
      <c r="A170" s="193"/>
      <c r="B170" s="229"/>
      <c r="C170" s="186"/>
      <c r="D170" s="186"/>
      <c r="E170" s="231"/>
    </row>
    <row r="171" spans="1:5" x14ac:dyDescent="0.25">
      <c r="A171" s="193"/>
      <c r="B171" s="229"/>
      <c r="C171" s="186"/>
      <c r="D171" s="186"/>
      <c r="E171" s="231"/>
    </row>
    <row r="172" spans="1:5" x14ac:dyDescent="0.25">
      <c r="A172" s="193"/>
      <c r="B172" s="229"/>
      <c r="C172" s="186"/>
      <c r="D172" s="186"/>
      <c r="E172" s="231"/>
    </row>
    <row r="173" spans="1:5" x14ac:dyDescent="0.25">
      <c r="A173" s="193"/>
      <c r="B173" s="229"/>
      <c r="C173" s="186"/>
      <c r="D173" s="186"/>
      <c r="E173" s="231"/>
    </row>
    <row r="174" spans="1:5" x14ac:dyDescent="0.25">
      <c r="A174" s="193"/>
      <c r="B174" s="229"/>
      <c r="C174" s="186"/>
      <c r="D174" s="186"/>
      <c r="E174" s="231"/>
    </row>
    <row r="175" spans="1:5" x14ac:dyDescent="0.25">
      <c r="A175" s="193"/>
      <c r="B175" s="229"/>
      <c r="C175" s="186"/>
      <c r="D175" s="186"/>
      <c r="E175" s="231"/>
    </row>
    <row r="176" spans="1:5" x14ac:dyDescent="0.25">
      <c r="A176" s="193"/>
      <c r="B176" s="229"/>
      <c r="C176" s="186"/>
      <c r="D176" s="186"/>
      <c r="E176" s="231"/>
    </row>
    <row r="177" spans="1:5" x14ac:dyDescent="0.25">
      <c r="A177" s="193"/>
      <c r="B177" s="229"/>
      <c r="C177" s="186"/>
      <c r="D177" s="186"/>
      <c r="E177" s="231"/>
    </row>
    <row r="178" spans="1:5" x14ac:dyDescent="0.25">
      <c r="A178" s="193"/>
      <c r="B178" s="229"/>
      <c r="C178" s="186"/>
      <c r="D178" s="186"/>
      <c r="E178" s="231"/>
    </row>
    <row r="179" spans="1:5" x14ac:dyDescent="0.25">
      <c r="A179" s="193"/>
      <c r="B179" s="229"/>
      <c r="C179" s="186"/>
      <c r="D179" s="186"/>
      <c r="E179" s="231"/>
    </row>
    <row r="180" spans="1:5" x14ac:dyDescent="0.25">
      <c r="A180" s="193"/>
      <c r="B180" s="229"/>
      <c r="C180" s="186"/>
      <c r="D180" s="186"/>
      <c r="E180" s="231"/>
    </row>
    <row r="181" spans="1:5" x14ac:dyDescent="0.25">
      <c r="A181" s="193"/>
      <c r="B181" s="229"/>
      <c r="C181" s="186"/>
      <c r="D181" s="186"/>
      <c r="E181" s="231"/>
    </row>
    <row r="182" spans="1:5" x14ac:dyDescent="0.25">
      <c r="A182" s="193"/>
      <c r="B182" s="229"/>
      <c r="C182" s="186"/>
      <c r="D182" s="186"/>
      <c r="E182" s="231"/>
    </row>
    <row r="183" spans="1:5" x14ac:dyDescent="0.25">
      <c r="A183" s="193"/>
      <c r="B183" s="229"/>
      <c r="C183" s="186"/>
      <c r="D183" s="186"/>
      <c r="E183" s="231"/>
    </row>
    <row r="184" spans="1:5" x14ac:dyDescent="0.25">
      <c r="A184" s="193"/>
      <c r="B184" s="229"/>
      <c r="C184" s="186"/>
      <c r="D184" s="186"/>
      <c r="E184" s="231"/>
    </row>
    <row r="185" spans="1:5" x14ac:dyDescent="0.25">
      <c r="A185" s="193"/>
      <c r="B185" s="229"/>
      <c r="C185" s="186"/>
      <c r="D185" s="186"/>
      <c r="E185" s="231"/>
    </row>
    <row r="186" spans="1:5" x14ac:dyDescent="0.25">
      <c r="A186" s="193"/>
      <c r="B186" s="229"/>
      <c r="C186" s="186"/>
      <c r="D186" s="186"/>
      <c r="E186" s="231"/>
    </row>
    <row r="187" spans="1:5" x14ac:dyDescent="0.25">
      <c r="A187" s="193"/>
      <c r="B187" s="229"/>
      <c r="C187" s="186"/>
      <c r="D187" s="186"/>
      <c r="E187" s="231"/>
    </row>
    <row r="188" spans="1:5" x14ac:dyDescent="0.25">
      <c r="A188" s="193"/>
      <c r="B188" s="229"/>
      <c r="C188" s="186"/>
      <c r="D188" s="186"/>
      <c r="E188" s="231"/>
    </row>
    <row r="189" spans="1:5" x14ac:dyDescent="0.25">
      <c r="A189" s="193"/>
      <c r="B189" s="229"/>
      <c r="C189" s="186"/>
      <c r="D189" s="186"/>
      <c r="E189" s="231"/>
    </row>
    <row r="190" spans="1:5" x14ac:dyDescent="0.25">
      <c r="A190" s="193"/>
      <c r="B190" s="229"/>
      <c r="C190" s="186"/>
      <c r="D190" s="186"/>
      <c r="E190" s="231"/>
    </row>
    <row r="191" spans="1:5" x14ac:dyDescent="0.25">
      <c r="A191" s="193"/>
      <c r="B191" s="229"/>
      <c r="C191" s="186"/>
      <c r="D191" s="186"/>
      <c r="E191" s="231"/>
    </row>
    <row r="192" spans="1:5" x14ac:dyDescent="0.25">
      <c r="A192" s="193"/>
      <c r="B192" s="229"/>
      <c r="C192" s="186"/>
      <c r="D192" s="186"/>
      <c r="E192" s="231"/>
    </row>
    <row r="193" spans="1:5" x14ac:dyDescent="0.25">
      <c r="A193" s="193"/>
      <c r="B193" s="229"/>
      <c r="C193" s="186"/>
      <c r="D193" s="186"/>
      <c r="E193" s="231"/>
    </row>
    <row r="194" spans="1:5" x14ac:dyDescent="0.25">
      <c r="A194" s="193"/>
      <c r="B194" s="229"/>
      <c r="C194" s="186"/>
      <c r="D194" s="186"/>
      <c r="E194" s="231"/>
    </row>
    <row r="195" spans="1:5" x14ac:dyDescent="0.25">
      <c r="A195" s="193"/>
      <c r="B195" s="229"/>
      <c r="C195" s="186"/>
      <c r="D195" s="186"/>
      <c r="E195" s="231"/>
    </row>
    <row r="196" spans="1:5" x14ac:dyDescent="0.25">
      <c r="A196" s="193"/>
      <c r="B196" s="229"/>
      <c r="C196" s="186"/>
      <c r="D196" s="186"/>
      <c r="E196" s="231"/>
    </row>
    <row r="197" spans="1:5" x14ac:dyDescent="0.25">
      <c r="A197" s="193"/>
      <c r="B197" s="229"/>
      <c r="C197" s="186"/>
      <c r="D197" s="186"/>
      <c r="E197" s="231"/>
    </row>
    <row r="198" spans="1:5" x14ac:dyDescent="0.25">
      <c r="A198" s="193"/>
      <c r="B198" s="229"/>
      <c r="C198" s="186"/>
      <c r="D198" s="186"/>
      <c r="E198" s="231"/>
    </row>
    <row r="199" spans="1:5" x14ac:dyDescent="0.25">
      <c r="A199" s="193"/>
      <c r="B199" s="229"/>
      <c r="C199" s="186"/>
      <c r="D199" s="186"/>
      <c r="E199" s="231"/>
    </row>
    <row r="200" spans="1:5" x14ac:dyDescent="0.25">
      <c r="A200" s="193"/>
      <c r="B200" s="229"/>
      <c r="C200" s="186"/>
      <c r="D200" s="186"/>
      <c r="E200" s="231"/>
    </row>
    <row r="201" spans="1:5" x14ac:dyDescent="0.25">
      <c r="A201" s="193"/>
      <c r="B201" s="229"/>
      <c r="C201" s="186"/>
      <c r="D201" s="186"/>
      <c r="E201" s="231"/>
    </row>
    <row r="202" spans="1:5" x14ac:dyDescent="0.25">
      <c r="A202" s="193"/>
      <c r="B202" s="229"/>
      <c r="C202" s="186"/>
      <c r="D202" s="186"/>
      <c r="E202" s="231"/>
    </row>
    <row r="203" spans="1:5" x14ac:dyDescent="0.25">
      <c r="A203" s="193"/>
      <c r="B203" s="229"/>
      <c r="C203" s="186"/>
      <c r="D203" s="186"/>
      <c r="E203" s="231"/>
    </row>
    <row r="204" spans="1:5" x14ac:dyDescent="0.25">
      <c r="A204" s="193"/>
      <c r="B204" s="229"/>
      <c r="C204" s="186"/>
      <c r="D204" s="186"/>
      <c r="E204" s="231"/>
    </row>
    <row r="205" spans="1:5" x14ac:dyDescent="0.25">
      <c r="A205" s="193"/>
      <c r="B205" s="229"/>
      <c r="C205" s="186"/>
      <c r="D205" s="186"/>
      <c r="E205" s="231"/>
    </row>
    <row r="206" spans="1:5" x14ac:dyDescent="0.25">
      <c r="A206" s="193"/>
      <c r="B206" s="229"/>
      <c r="C206" s="186"/>
      <c r="D206" s="186"/>
      <c r="E206" s="231"/>
    </row>
    <row r="207" spans="1:5" x14ac:dyDescent="0.25">
      <c r="A207" s="193"/>
      <c r="B207" s="229"/>
      <c r="C207" s="186"/>
      <c r="D207" s="186"/>
      <c r="E207" s="231"/>
    </row>
    <row r="208" spans="1:5" x14ac:dyDescent="0.25">
      <c r="A208" s="193"/>
      <c r="B208" s="229"/>
      <c r="C208" s="186"/>
      <c r="D208" s="186"/>
      <c r="E208" s="231"/>
    </row>
    <row r="209" spans="1:5" x14ac:dyDescent="0.25">
      <c r="A209" s="193"/>
      <c r="B209" s="229"/>
      <c r="C209" s="186"/>
      <c r="D209" s="186"/>
      <c r="E209" s="231"/>
    </row>
    <row r="210" spans="1:5" x14ac:dyDescent="0.25">
      <c r="A210" s="193"/>
      <c r="B210" s="229"/>
      <c r="C210" s="186"/>
      <c r="D210" s="186"/>
      <c r="E210" s="231"/>
    </row>
    <row r="211" spans="1:5" x14ac:dyDescent="0.25">
      <c r="A211" s="193"/>
      <c r="B211" s="229"/>
      <c r="C211" s="186"/>
      <c r="D211" s="186"/>
      <c r="E211" s="231"/>
    </row>
    <row r="212" spans="1:5" x14ac:dyDescent="0.25">
      <c r="A212" s="193"/>
      <c r="B212" s="229"/>
      <c r="C212" s="186"/>
      <c r="D212" s="186"/>
      <c r="E212" s="231"/>
    </row>
    <row r="213" spans="1:5" x14ac:dyDescent="0.25">
      <c r="A213" s="193"/>
      <c r="B213" s="229"/>
      <c r="C213" s="186"/>
      <c r="D213" s="186"/>
      <c r="E213" s="231"/>
    </row>
    <row r="214" spans="1:5" x14ac:dyDescent="0.25">
      <c r="A214" s="193"/>
      <c r="B214" s="229"/>
      <c r="C214" s="186"/>
      <c r="D214" s="186"/>
      <c r="E214" s="231"/>
    </row>
    <row r="215" spans="1:5" x14ac:dyDescent="0.25">
      <c r="A215" s="193"/>
      <c r="B215" s="229"/>
      <c r="C215" s="186"/>
      <c r="D215" s="186"/>
      <c r="E215" s="231"/>
    </row>
    <row r="216" spans="1:5" x14ac:dyDescent="0.25">
      <c r="A216" s="193"/>
      <c r="B216" s="229"/>
      <c r="C216" s="186"/>
      <c r="D216" s="186"/>
      <c r="E216" s="231"/>
    </row>
    <row r="217" spans="1:5" x14ac:dyDescent="0.25">
      <c r="A217" s="193"/>
      <c r="B217" s="229"/>
      <c r="C217" s="186"/>
      <c r="D217" s="186"/>
      <c r="E217" s="231"/>
    </row>
    <row r="218" spans="1:5" x14ac:dyDescent="0.25">
      <c r="A218" s="193"/>
      <c r="B218" s="229"/>
      <c r="C218" s="186"/>
      <c r="D218" s="186"/>
      <c r="E218" s="231"/>
    </row>
    <row r="219" spans="1:5" x14ac:dyDescent="0.25">
      <c r="A219" s="193"/>
      <c r="B219" s="229"/>
      <c r="C219" s="186"/>
      <c r="D219" s="186"/>
      <c r="E219" s="231"/>
    </row>
    <row r="220" spans="1:5" x14ac:dyDescent="0.25">
      <c r="A220" s="193"/>
      <c r="B220" s="229"/>
      <c r="C220" s="186"/>
      <c r="D220" s="186"/>
      <c r="E220" s="231"/>
    </row>
    <row r="221" spans="1:5" x14ac:dyDescent="0.25">
      <c r="A221" s="193"/>
      <c r="B221" s="229"/>
      <c r="C221" s="186"/>
      <c r="D221" s="186"/>
      <c r="E221" s="231"/>
    </row>
    <row r="222" spans="1:5" x14ac:dyDescent="0.25">
      <c r="A222" s="193"/>
      <c r="B222" s="229"/>
      <c r="C222" s="186"/>
      <c r="D222" s="186"/>
      <c r="E222" s="231"/>
    </row>
    <row r="223" spans="1:5" x14ac:dyDescent="0.25">
      <c r="A223" s="193"/>
      <c r="B223" s="229"/>
      <c r="C223" s="186"/>
      <c r="D223" s="186"/>
      <c r="E223" s="231"/>
    </row>
    <row r="224" spans="1:5" x14ac:dyDescent="0.25">
      <c r="A224" s="193"/>
      <c r="B224" s="229"/>
      <c r="C224" s="186"/>
      <c r="D224" s="186"/>
      <c r="E224" s="231"/>
    </row>
    <row r="225" spans="1:5" x14ac:dyDescent="0.25">
      <c r="A225" s="193"/>
      <c r="B225" s="229"/>
      <c r="C225" s="186"/>
      <c r="D225" s="186"/>
      <c r="E225" s="231"/>
    </row>
    <row r="226" spans="1:5" x14ac:dyDescent="0.25">
      <c r="A226" s="193"/>
      <c r="B226" s="229"/>
      <c r="C226" s="186"/>
      <c r="D226" s="186"/>
      <c r="E226" s="231"/>
    </row>
    <row r="227" spans="1:5" x14ac:dyDescent="0.25">
      <c r="A227" s="193"/>
      <c r="B227" s="229"/>
      <c r="C227" s="186"/>
      <c r="D227" s="186"/>
      <c r="E227" s="231"/>
    </row>
    <row r="228" spans="1:5" x14ac:dyDescent="0.25">
      <c r="A228" s="193"/>
      <c r="B228" s="229"/>
      <c r="C228" s="186"/>
      <c r="D228" s="186"/>
      <c r="E228" s="231"/>
    </row>
    <row r="229" spans="1:5" x14ac:dyDescent="0.25">
      <c r="A229" s="193"/>
      <c r="B229" s="229"/>
      <c r="C229" s="186"/>
      <c r="D229" s="186"/>
      <c r="E229" s="231"/>
    </row>
    <row r="230" spans="1:5" x14ac:dyDescent="0.25">
      <c r="A230" s="193"/>
      <c r="B230" s="229"/>
      <c r="C230" s="186"/>
      <c r="D230" s="186"/>
      <c r="E230" s="231"/>
    </row>
    <row r="231" spans="1:5" x14ac:dyDescent="0.25">
      <c r="A231" s="193"/>
      <c r="B231" s="229"/>
      <c r="C231" s="186"/>
      <c r="D231" s="186"/>
      <c r="E231" s="231"/>
    </row>
    <row r="232" spans="1:5" x14ac:dyDescent="0.25">
      <c r="A232" s="193"/>
      <c r="B232" s="229"/>
      <c r="C232" s="186"/>
      <c r="D232" s="186"/>
      <c r="E232" s="231"/>
    </row>
    <row r="233" spans="1:5" x14ac:dyDescent="0.25">
      <c r="A233" s="193"/>
      <c r="B233" s="229"/>
      <c r="C233" s="186"/>
      <c r="D233" s="186"/>
      <c r="E233" s="231"/>
    </row>
    <row r="234" spans="1:5" x14ac:dyDescent="0.25">
      <c r="A234" s="193"/>
      <c r="B234" s="229"/>
      <c r="C234" s="186"/>
      <c r="D234" s="186"/>
      <c r="E234" s="231"/>
    </row>
    <row r="235" spans="1:5" x14ac:dyDescent="0.25">
      <c r="A235" s="193"/>
      <c r="B235" s="229"/>
      <c r="C235" s="186"/>
      <c r="D235" s="186"/>
      <c r="E235" s="231"/>
    </row>
    <row r="236" spans="1:5" x14ac:dyDescent="0.25">
      <c r="A236" s="193"/>
      <c r="B236" s="229"/>
      <c r="C236" s="186"/>
      <c r="D236" s="186"/>
      <c r="E236" s="231"/>
    </row>
    <row r="237" spans="1:5" x14ac:dyDescent="0.25">
      <c r="A237" s="193"/>
      <c r="B237" s="229"/>
      <c r="C237" s="186"/>
      <c r="D237" s="186"/>
      <c r="E237" s="231"/>
    </row>
    <row r="238" spans="1:5" x14ac:dyDescent="0.25">
      <c r="A238" s="193"/>
      <c r="B238" s="229"/>
      <c r="C238" s="186"/>
      <c r="D238" s="186"/>
      <c r="E238" s="231"/>
    </row>
    <row r="239" spans="1:5" x14ac:dyDescent="0.25">
      <c r="A239" s="193"/>
      <c r="B239" s="229"/>
      <c r="C239" s="186"/>
      <c r="D239" s="186"/>
      <c r="E239" s="231"/>
    </row>
    <row r="240" spans="1:5" x14ac:dyDescent="0.25">
      <c r="A240" s="193"/>
      <c r="B240" s="229"/>
      <c r="C240" s="186"/>
      <c r="D240" s="186"/>
      <c r="E240" s="231"/>
    </row>
    <row r="241" spans="1:5" x14ac:dyDescent="0.25">
      <c r="A241" s="193"/>
      <c r="B241" s="229"/>
      <c r="C241" s="186"/>
      <c r="D241" s="186"/>
      <c r="E241" s="231"/>
    </row>
    <row r="242" spans="1:5" x14ac:dyDescent="0.25">
      <c r="A242" s="193"/>
      <c r="B242" s="229"/>
      <c r="C242" s="186"/>
      <c r="D242" s="186"/>
      <c r="E242" s="231"/>
    </row>
    <row r="243" spans="1:5" x14ac:dyDescent="0.25">
      <c r="A243" s="193"/>
      <c r="B243" s="229"/>
      <c r="C243" s="186"/>
      <c r="D243" s="186"/>
      <c r="E243" s="231"/>
    </row>
    <row r="244" spans="1:5" x14ac:dyDescent="0.25">
      <c r="A244" s="193"/>
      <c r="B244" s="229"/>
      <c r="C244" s="186"/>
      <c r="D244" s="186"/>
      <c r="E244" s="231"/>
    </row>
    <row r="245" spans="1:5" x14ac:dyDescent="0.25">
      <c r="A245" s="193"/>
      <c r="B245" s="229"/>
      <c r="C245" s="186"/>
      <c r="D245" s="186"/>
      <c r="E245" s="231"/>
    </row>
    <row r="246" spans="1:5" x14ac:dyDescent="0.25">
      <c r="A246" s="193"/>
      <c r="B246" s="229"/>
      <c r="C246" s="186"/>
      <c r="D246" s="186"/>
      <c r="E246" s="231"/>
    </row>
    <row r="247" spans="1:5" x14ac:dyDescent="0.25">
      <c r="A247" s="193"/>
      <c r="B247" s="229"/>
      <c r="C247" s="186"/>
      <c r="D247" s="186"/>
      <c r="E247" s="231"/>
    </row>
    <row r="248" spans="1:5" x14ac:dyDescent="0.25">
      <c r="A248" s="193"/>
      <c r="B248" s="229"/>
      <c r="C248" s="186"/>
      <c r="D248" s="186"/>
      <c r="E248" s="231"/>
    </row>
    <row r="249" spans="1:5" x14ac:dyDescent="0.25">
      <c r="A249" s="193"/>
      <c r="B249" s="229"/>
      <c r="C249" s="186"/>
      <c r="D249" s="186"/>
      <c r="E249" s="231"/>
    </row>
    <row r="250" spans="1:5" x14ac:dyDescent="0.25">
      <c r="A250" s="193"/>
      <c r="B250" s="229"/>
      <c r="C250" s="186"/>
      <c r="D250" s="186"/>
      <c r="E250" s="231"/>
    </row>
    <row r="251" spans="1:5" x14ac:dyDescent="0.25">
      <c r="A251" s="193"/>
      <c r="B251" s="229"/>
      <c r="C251" s="186"/>
      <c r="D251" s="186"/>
      <c r="E251" s="231"/>
    </row>
    <row r="252" spans="1:5" x14ac:dyDescent="0.25">
      <c r="A252" s="193"/>
      <c r="B252" s="229"/>
      <c r="C252" s="186"/>
      <c r="D252" s="186"/>
      <c r="E252" s="231"/>
    </row>
    <row r="253" spans="1:5" x14ac:dyDescent="0.25">
      <c r="A253" s="193"/>
      <c r="B253" s="229"/>
      <c r="C253" s="186"/>
      <c r="D253" s="186"/>
      <c r="E253" s="231"/>
    </row>
    <row r="254" spans="1:5" x14ac:dyDescent="0.25">
      <c r="A254" s="193"/>
      <c r="B254" s="229"/>
      <c r="C254" s="186"/>
      <c r="D254" s="186"/>
      <c r="E254" s="231"/>
    </row>
    <row r="255" spans="1:5" x14ac:dyDescent="0.25">
      <c r="A255" s="193"/>
      <c r="B255" s="229"/>
      <c r="C255" s="186"/>
      <c r="D255" s="186"/>
      <c r="E255" s="231"/>
    </row>
    <row r="256" spans="1:5" x14ac:dyDescent="0.25">
      <c r="A256" s="193"/>
      <c r="B256" s="229"/>
      <c r="C256" s="186"/>
      <c r="D256" s="186"/>
      <c r="E256" s="231"/>
    </row>
    <row r="257" spans="1:5" x14ac:dyDescent="0.25">
      <c r="A257" s="193"/>
      <c r="B257" s="229"/>
      <c r="C257" s="186"/>
      <c r="D257" s="186"/>
      <c r="E257" s="231"/>
    </row>
    <row r="258" spans="1:5" x14ac:dyDescent="0.25">
      <c r="A258" s="193"/>
      <c r="B258" s="229"/>
      <c r="C258" s="186"/>
      <c r="D258" s="186"/>
      <c r="E258" s="231"/>
    </row>
    <row r="259" spans="1:5" x14ac:dyDescent="0.25">
      <c r="A259" s="193"/>
      <c r="B259" s="229"/>
      <c r="C259" s="186"/>
      <c r="D259" s="186"/>
      <c r="E259" s="231"/>
    </row>
    <row r="260" spans="1:5" x14ac:dyDescent="0.25">
      <c r="A260" s="193"/>
      <c r="B260" s="229"/>
      <c r="C260" s="186"/>
      <c r="D260" s="186"/>
      <c r="E260" s="231"/>
    </row>
    <row r="261" spans="1:5" x14ac:dyDescent="0.25">
      <c r="A261" s="193"/>
      <c r="B261" s="229"/>
      <c r="C261" s="186"/>
      <c r="D261" s="186"/>
      <c r="E261" s="231"/>
    </row>
    <row r="262" spans="1:5" x14ac:dyDescent="0.25">
      <c r="A262" s="193"/>
      <c r="B262" s="229"/>
      <c r="C262" s="186"/>
      <c r="D262" s="186"/>
      <c r="E262" s="231"/>
    </row>
    <row r="263" spans="1:5" x14ac:dyDescent="0.25">
      <c r="A263" s="193"/>
      <c r="B263" s="229"/>
      <c r="C263" s="186"/>
      <c r="D263" s="186"/>
      <c r="E263" s="231"/>
    </row>
    <row r="264" spans="1:5" x14ac:dyDescent="0.25">
      <c r="A264" s="193"/>
      <c r="B264" s="229"/>
      <c r="C264" s="186"/>
      <c r="D264" s="186"/>
      <c r="E264" s="231"/>
    </row>
    <row r="265" spans="1:5" x14ac:dyDescent="0.25">
      <c r="A265" s="193"/>
      <c r="B265" s="229"/>
      <c r="C265" s="186"/>
      <c r="D265" s="186"/>
      <c r="E265" s="231"/>
    </row>
    <row r="266" spans="1:5" x14ac:dyDescent="0.25">
      <c r="A266" s="193"/>
      <c r="B266" s="229"/>
      <c r="C266" s="186"/>
      <c r="D266" s="186"/>
      <c r="E266" s="231"/>
    </row>
    <row r="267" spans="1:5" x14ac:dyDescent="0.25">
      <c r="A267" s="193"/>
      <c r="B267" s="229"/>
      <c r="C267" s="186"/>
      <c r="D267" s="186"/>
      <c r="E267" s="231"/>
    </row>
    <row r="268" spans="1:5" x14ac:dyDescent="0.25">
      <c r="A268" s="193"/>
      <c r="B268" s="229"/>
      <c r="C268" s="186"/>
      <c r="D268" s="186"/>
      <c r="E268" s="231"/>
    </row>
    <row r="269" spans="1:5" x14ac:dyDescent="0.25">
      <c r="A269" s="193"/>
      <c r="B269" s="229"/>
      <c r="C269" s="186"/>
      <c r="D269" s="186"/>
      <c r="E269" s="231"/>
    </row>
    <row r="270" spans="1:5" x14ac:dyDescent="0.25">
      <c r="A270" s="193"/>
      <c r="B270" s="229"/>
      <c r="C270" s="186"/>
      <c r="D270" s="186"/>
      <c r="E270" s="231"/>
    </row>
    <row r="271" spans="1:5" x14ac:dyDescent="0.25">
      <c r="A271" s="193"/>
      <c r="B271" s="229"/>
      <c r="C271" s="186"/>
      <c r="D271" s="186"/>
      <c r="E271" s="231"/>
    </row>
    <row r="272" spans="1:5" x14ac:dyDescent="0.25">
      <c r="A272" s="193"/>
      <c r="B272" s="229"/>
      <c r="C272" s="186"/>
      <c r="D272" s="186"/>
      <c r="E272" s="231"/>
    </row>
    <row r="273" spans="1:5" x14ac:dyDescent="0.25">
      <c r="A273" s="193"/>
      <c r="B273" s="229"/>
      <c r="C273" s="186"/>
      <c r="D273" s="186"/>
      <c r="E273" s="231"/>
    </row>
    <row r="274" spans="1:5" x14ac:dyDescent="0.25">
      <c r="A274" s="193"/>
      <c r="B274" s="229"/>
      <c r="C274" s="186"/>
      <c r="D274" s="186"/>
      <c r="E274" s="231"/>
    </row>
    <row r="275" spans="1:5" x14ac:dyDescent="0.25">
      <c r="A275" s="193"/>
      <c r="B275" s="229"/>
      <c r="C275" s="186"/>
      <c r="D275" s="186"/>
      <c r="E275" s="231"/>
    </row>
    <row r="276" spans="1:5" x14ac:dyDescent="0.25">
      <c r="A276" s="193"/>
      <c r="B276" s="229"/>
      <c r="C276" s="186"/>
      <c r="D276" s="186"/>
      <c r="E276" s="231"/>
    </row>
    <row r="277" spans="1:5" x14ac:dyDescent="0.25">
      <c r="A277" s="193"/>
      <c r="B277" s="229"/>
      <c r="C277" s="186"/>
      <c r="D277" s="186"/>
      <c r="E277" s="231"/>
    </row>
    <row r="278" spans="1:5" x14ac:dyDescent="0.25">
      <c r="A278" s="193"/>
      <c r="B278" s="229"/>
      <c r="C278" s="186"/>
      <c r="D278" s="186"/>
      <c r="E278" s="231"/>
    </row>
    <row r="279" spans="1:5" x14ac:dyDescent="0.25">
      <c r="A279" s="193"/>
      <c r="B279" s="229"/>
      <c r="C279" s="186"/>
      <c r="D279" s="186"/>
      <c r="E279" s="231"/>
    </row>
    <row r="280" spans="1:5" x14ac:dyDescent="0.25">
      <c r="A280" s="193"/>
      <c r="B280" s="229"/>
      <c r="C280" s="186"/>
      <c r="D280" s="186"/>
      <c r="E280" s="231"/>
    </row>
    <row r="281" spans="1:5" x14ac:dyDescent="0.25">
      <c r="A281" s="193"/>
      <c r="B281" s="229"/>
      <c r="C281" s="186"/>
      <c r="D281" s="186"/>
      <c r="E281" s="231"/>
    </row>
    <row r="282" spans="1:5" x14ac:dyDescent="0.25">
      <c r="A282" s="193"/>
      <c r="B282" s="229"/>
      <c r="C282" s="186"/>
      <c r="D282" s="186"/>
      <c r="E282" s="231"/>
    </row>
    <row r="283" spans="1:5" x14ac:dyDescent="0.25">
      <c r="A283" s="193"/>
      <c r="B283" s="229"/>
      <c r="C283" s="186"/>
      <c r="D283" s="186"/>
      <c r="E283" s="231"/>
    </row>
    <row r="284" spans="1:5" x14ac:dyDescent="0.25">
      <c r="A284" s="193"/>
      <c r="B284" s="229"/>
      <c r="C284" s="186"/>
      <c r="D284" s="186"/>
      <c r="E284" s="231"/>
    </row>
    <row r="285" spans="1:5" x14ac:dyDescent="0.25">
      <c r="A285" s="193"/>
      <c r="B285" s="229"/>
      <c r="C285" s="186"/>
      <c r="D285" s="186"/>
      <c r="E285" s="231"/>
    </row>
    <row r="286" spans="1:5" x14ac:dyDescent="0.25">
      <c r="A286" s="193"/>
      <c r="B286" s="229"/>
      <c r="C286" s="186"/>
      <c r="D286" s="186"/>
      <c r="E286" s="231"/>
    </row>
    <row r="287" spans="1:5" x14ac:dyDescent="0.25">
      <c r="A287" s="193"/>
      <c r="B287" s="229"/>
      <c r="C287" s="186"/>
      <c r="D287" s="186"/>
      <c r="E287" s="231"/>
    </row>
    <row r="288" spans="1:5" x14ac:dyDescent="0.25">
      <c r="A288" s="193"/>
      <c r="B288" s="229"/>
      <c r="C288" s="186"/>
      <c r="D288" s="186"/>
      <c r="E288" s="231"/>
    </row>
    <row r="289" spans="1:5" x14ac:dyDescent="0.25">
      <c r="A289" s="193"/>
      <c r="B289" s="229"/>
      <c r="C289" s="186"/>
      <c r="D289" s="186"/>
      <c r="E289" s="231"/>
    </row>
    <row r="290" spans="1:5" x14ac:dyDescent="0.25">
      <c r="A290" s="193"/>
      <c r="B290" s="229"/>
      <c r="C290" s="186"/>
      <c r="D290" s="186"/>
      <c r="E290" s="231"/>
    </row>
    <row r="291" spans="1:5" x14ac:dyDescent="0.25">
      <c r="A291" s="193"/>
      <c r="B291" s="229"/>
      <c r="C291" s="186"/>
      <c r="D291" s="186"/>
      <c r="E291" s="231"/>
    </row>
    <row r="292" spans="1:5" x14ac:dyDescent="0.25">
      <c r="A292" s="193"/>
      <c r="B292" s="229"/>
      <c r="C292" s="186"/>
      <c r="D292" s="186"/>
      <c r="E292" s="231"/>
    </row>
    <row r="293" spans="1:5" x14ac:dyDescent="0.25">
      <c r="A293" s="193"/>
      <c r="B293" s="229"/>
      <c r="C293" s="186"/>
      <c r="D293" s="186"/>
      <c r="E293" s="231"/>
    </row>
    <row r="294" spans="1:5" x14ac:dyDescent="0.25">
      <c r="A294" s="193"/>
      <c r="B294" s="229"/>
      <c r="C294" s="186"/>
      <c r="D294" s="186"/>
      <c r="E294" s="231"/>
    </row>
    <row r="295" spans="1:5" x14ac:dyDescent="0.25">
      <c r="A295" s="193"/>
      <c r="B295" s="229"/>
      <c r="C295" s="186"/>
      <c r="D295" s="186"/>
      <c r="E295" s="231"/>
    </row>
    <row r="296" spans="1:5" x14ac:dyDescent="0.25">
      <c r="A296" s="193"/>
      <c r="B296" s="229"/>
      <c r="C296" s="186"/>
      <c r="D296" s="186"/>
      <c r="E296" s="231"/>
    </row>
    <row r="297" spans="1:5" x14ac:dyDescent="0.25">
      <c r="A297" s="193"/>
      <c r="B297" s="229"/>
      <c r="C297" s="186"/>
      <c r="D297" s="186"/>
      <c r="E297" s="231"/>
    </row>
    <row r="298" spans="1:5" x14ac:dyDescent="0.25">
      <c r="A298" s="193"/>
      <c r="B298" s="229"/>
      <c r="C298" s="186"/>
      <c r="D298" s="186"/>
      <c r="E298" s="231"/>
    </row>
    <row r="299" spans="1:5" x14ac:dyDescent="0.25">
      <c r="A299" s="193"/>
      <c r="B299" s="229"/>
      <c r="C299" s="186"/>
      <c r="D299" s="186"/>
      <c r="E299" s="231"/>
    </row>
    <row r="300" spans="1:5" x14ac:dyDescent="0.25">
      <c r="A300" s="193"/>
      <c r="B300" s="229"/>
      <c r="C300" s="186"/>
      <c r="D300" s="186"/>
      <c r="E300" s="231"/>
    </row>
    <row r="301" spans="1:5" x14ac:dyDescent="0.25">
      <c r="A301" s="193"/>
      <c r="B301" s="229"/>
      <c r="C301" s="186"/>
      <c r="D301" s="186"/>
      <c r="E301" s="231"/>
    </row>
    <row r="302" spans="1:5" x14ac:dyDescent="0.25">
      <c r="A302" s="193"/>
      <c r="B302" s="229"/>
      <c r="C302" s="186"/>
      <c r="D302" s="186"/>
      <c r="E302" s="231"/>
    </row>
    <row r="303" spans="1:5" x14ac:dyDescent="0.25">
      <c r="A303" s="193"/>
      <c r="B303" s="229"/>
      <c r="C303" s="186"/>
      <c r="D303" s="186"/>
      <c r="E303" s="231"/>
    </row>
    <row r="304" spans="1:5" x14ac:dyDescent="0.25">
      <c r="A304" s="193"/>
      <c r="B304" s="229"/>
      <c r="C304" s="186"/>
      <c r="D304" s="186"/>
      <c r="E304" s="231"/>
    </row>
    <row r="305" spans="1:5" x14ac:dyDescent="0.25">
      <c r="A305" s="193"/>
      <c r="B305" s="229"/>
      <c r="C305" s="186"/>
      <c r="D305" s="186"/>
      <c r="E305" s="231"/>
    </row>
    <row r="306" spans="1:5" x14ac:dyDescent="0.25">
      <c r="A306" s="193"/>
      <c r="B306" s="229"/>
      <c r="C306" s="186"/>
      <c r="D306" s="186"/>
      <c r="E306" s="231"/>
    </row>
    <row r="307" spans="1:5" x14ac:dyDescent="0.25">
      <c r="A307" s="193"/>
      <c r="B307" s="229"/>
      <c r="C307" s="186"/>
      <c r="D307" s="186"/>
      <c r="E307" s="231"/>
    </row>
    <row r="308" spans="1:5" x14ac:dyDescent="0.25">
      <c r="A308" s="193"/>
      <c r="B308" s="229"/>
      <c r="C308" s="186"/>
      <c r="D308" s="186"/>
      <c r="E308" s="231"/>
    </row>
    <row r="309" spans="1:5" x14ac:dyDescent="0.25">
      <c r="A309" s="193"/>
      <c r="B309" s="229"/>
      <c r="C309" s="186"/>
      <c r="D309" s="186"/>
      <c r="E309" s="231"/>
    </row>
    <row r="310" spans="1:5" x14ac:dyDescent="0.25">
      <c r="A310" s="193"/>
      <c r="B310" s="229"/>
      <c r="C310" s="186"/>
      <c r="D310" s="186"/>
      <c r="E310" s="231"/>
    </row>
    <row r="311" spans="1:5" x14ac:dyDescent="0.25">
      <c r="A311" s="193"/>
      <c r="B311" s="229"/>
      <c r="C311" s="186"/>
      <c r="D311" s="186"/>
      <c r="E311" s="231"/>
    </row>
    <row r="312" spans="1:5" x14ac:dyDescent="0.25">
      <c r="A312" s="193"/>
      <c r="B312" s="229"/>
      <c r="C312" s="186"/>
      <c r="D312" s="186"/>
      <c r="E312" s="231"/>
    </row>
    <row r="313" spans="1:5" x14ac:dyDescent="0.25">
      <c r="A313" s="193"/>
      <c r="B313" s="229"/>
      <c r="C313" s="186"/>
      <c r="D313" s="186"/>
      <c r="E313" s="231"/>
    </row>
    <row r="314" spans="1:5" x14ac:dyDescent="0.25">
      <c r="A314" s="193"/>
      <c r="B314" s="229"/>
      <c r="C314" s="186"/>
      <c r="D314" s="186"/>
      <c r="E314" s="231"/>
    </row>
    <row r="315" spans="1:5" x14ac:dyDescent="0.25">
      <c r="A315" s="193"/>
      <c r="B315" s="229"/>
      <c r="C315" s="186"/>
      <c r="D315" s="186"/>
      <c r="E315" s="231"/>
    </row>
    <row r="316" spans="1:5" x14ac:dyDescent="0.25">
      <c r="A316" s="193"/>
      <c r="B316" s="229"/>
      <c r="C316" s="186"/>
      <c r="D316" s="186"/>
      <c r="E316" s="231"/>
    </row>
    <row r="317" spans="1:5" x14ac:dyDescent="0.25">
      <c r="A317" s="193"/>
      <c r="B317" s="229"/>
      <c r="C317" s="186"/>
      <c r="D317" s="186"/>
      <c r="E317" s="231"/>
    </row>
    <row r="318" spans="1:5" x14ac:dyDescent="0.25">
      <c r="A318" s="193"/>
      <c r="B318" s="229"/>
      <c r="C318" s="186"/>
      <c r="D318" s="186"/>
      <c r="E318" s="231"/>
    </row>
    <row r="319" spans="1:5" x14ac:dyDescent="0.25">
      <c r="A319" s="193"/>
      <c r="B319" s="229"/>
      <c r="C319" s="186"/>
      <c r="D319" s="186"/>
      <c r="E319" s="231"/>
    </row>
    <row r="320" spans="1:5" x14ac:dyDescent="0.25">
      <c r="A320" s="193"/>
      <c r="B320" s="229"/>
      <c r="C320" s="186"/>
      <c r="D320" s="186"/>
      <c r="E320" s="231"/>
    </row>
    <row r="321" spans="1:5" x14ac:dyDescent="0.25">
      <c r="A321" s="193"/>
      <c r="B321" s="229"/>
      <c r="C321" s="186"/>
      <c r="D321" s="186"/>
      <c r="E321" s="231"/>
    </row>
    <row r="322" spans="1:5" x14ac:dyDescent="0.25">
      <c r="A322" s="193"/>
      <c r="B322" s="229"/>
      <c r="C322" s="186"/>
      <c r="D322" s="186"/>
      <c r="E322" s="231"/>
    </row>
    <row r="323" spans="1:5" x14ac:dyDescent="0.25">
      <c r="A323" s="193"/>
      <c r="B323" s="229"/>
      <c r="C323" s="186"/>
      <c r="D323" s="186"/>
      <c r="E323" s="231"/>
    </row>
    <row r="324" spans="1:5" x14ac:dyDescent="0.25">
      <c r="A324" s="193"/>
      <c r="B324" s="229"/>
      <c r="C324" s="186"/>
      <c r="D324" s="186"/>
      <c r="E324" s="231"/>
    </row>
    <row r="325" spans="1:5" x14ac:dyDescent="0.25">
      <c r="A325" s="193"/>
      <c r="B325" s="229"/>
      <c r="C325" s="186"/>
      <c r="D325" s="186"/>
      <c r="E325" s="231"/>
    </row>
    <row r="326" spans="1:5" x14ac:dyDescent="0.25">
      <c r="A326" s="193"/>
      <c r="B326" s="229"/>
      <c r="C326" s="186"/>
      <c r="D326" s="186"/>
      <c r="E326" s="231"/>
    </row>
    <row r="327" spans="1:5" x14ac:dyDescent="0.25">
      <c r="A327" s="193"/>
      <c r="B327" s="229"/>
      <c r="C327" s="186"/>
      <c r="D327" s="186"/>
      <c r="E327" s="231"/>
    </row>
    <row r="328" spans="1:5" x14ac:dyDescent="0.25">
      <c r="A328" s="193"/>
      <c r="B328" s="229"/>
      <c r="C328" s="186"/>
      <c r="D328" s="186"/>
      <c r="E328" s="231"/>
    </row>
    <row r="329" spans="1:5" x14ac:dyDescent="0.25">
      <c r="A329" s="193"/>
      <c r="B329" s="229"/>
      <c r="C329" s="186"/>
      <c r="D329" s="186"/>
      <c r="E329" s="231"/>
    </row>
    <row r="330" spans="1:5" x14ac:dyDescent="0.25">
      <c r="A330" s="193"/>
      <c r="B330" s="229"/>
      <c r="C330" s="186"/>
      <c r="D330" s="186"/>
      <c r="E330" s="231"/>
    </row>
    <row r="331" spans="1:5" x14ac:dyDescent="0.25">
      <c r="A331" s="193"/>
      <c r="B331" s="229"/>
      <c r="C331" s="186"/>
      <c r="D331" s="186"/>
      <c r="E331" s="231"/>
    </row>
    <row r="332" spans="1:5" x14ac:dyDescent="0.25">
      <c r="A332" s="193"/>
      <c r="B332" s="229"/>
      <c r="C332" s="186"/>
      <c r="D332" s="186"/>
      <c r="E332" s="231"/>
    </row>
    <row r="333" spans="1:5" x14ac:dyDescent="0.25">
      <c r="A333" s="193"/>
      <c r="B333" s="229"/>
      <c r="C333" s="186"/>
      <c r="D333" s="186"/>
      <c r="E333" s="231"/>
    </row>
    <row r="334" spans="1:5" x14ac:dyDescent="0.25">
      <c r="A334" s="193"/>
      <c r="B334" s="229"/>
      <c r="C334" s="186"/>
      <c r="D334" s="186"/>
      <c r="E334" s="231"/>
    </row>
    <row r="335" spans="1:5" x14ac:dyDescent="0.25">
      <c r="A335" s="193"/>
      <c r="B335" s="229"/>
      <c r="C335" s="186"/>
      <c r="D335" s="186"/>
      <c r="E335" s="231"/>
    </row>
    <row r="336" spans="1:5" x14ac:dyDescent="0.25">
      <c r="A336" s="193"/>
      <c r="B336" s="229"/>
      <c r="C336" s="186"/>
      <c r="D336" s="186"/>
      <c r="E336" s="231"/>
    </row>
    <row r="337" spans="1:5" x14ac:dyDescent="0.25">
      <c r="A337" s="193"/>
      <c r="B337" s="229"/>
      <c r="C337" s="186"/>
      <c r="D337" s="186"/>
      <c r="E337" s="231"/>
    </row>
    <row r="338" spans="1:5" x14ac:dyDescent="0.25">
      <c r="A338" s="193"/>
      <c r="B338" s="229"/>
      <c r="C338" s="186"/>
      <c r="D338" s="186"/>
      <c r="E338" s="231"/>
    </row>
    <row r="339" spans="1:5" x14ac:dyDescent="0.25">
      <c r="A339" s="193"/>
      <c r="B339" s="229"/>
      <c r="C339" s="186"/>
      <c r="D339" s="186"/>
      <c r="E339" s="231"/>
    </row>
    <row r="340" spans="1:5" x14ac:dyDescent="0.25">
      <c r="A340" s="193"/>
      <c r="B340" s="229"/>
      <c r="C340" s="186"/>
      <c r="D340" s="186"/>
      <c r="E340" s="231"/>
    </row>
    <row r="341" spans="1:5" x14ac:dyDescent="0.25">
      <c r="A341" s="193"/>
      <c r="B341" s="229"/>
      <c r="C341" s="186"/>
      <c r="D341" s="186"/>
      <c r="E341" s="231"/>
    </row>
    <row r="342" spans="1:5" x14ac:dyDescent="0.25">
      <c r="A342" s="193"/>
      <c r="B342" s="229"/>
      <c r="C342" s="186"/>
      <c r="D342" s="186"/>
      <c r="E342" s="231"/>
    </row>
    <row r="343" spans="1:5" x14ac:dyDescent="0.25">
      <c r="A343" s="193"/>
      <c r="B343" s="229"/>
      <c r="C343" s="186"/>
      <c r="D343" s="186"/>
      <c r="E343" s="231"/>
    </row>
    <row r="344" spans="1:5" x14ac:dyDescent="0.25">
      <c r="A344" s="193"/>
      <c r="B344" s="229"/>
      <c r="C344" s="186"/>
      <c r="D344" s="186"/>
      <c r="E344" s="231"/>
    </row>
    <row r="345" spans="1:5" x14ac:dyDescent="0.25">
      <c r="A345" s="193"/>
      <c r="B345" s="229"/>
      <c r="C345" s="186"/>
      <c r="D345" s="186"/>
      <c r="E345" s="231"/>
    </row>
    <row r="346" spans="1:5" x14ac:dyDescent="0.25">
      <c r="A346" s="193"/>
      <c r="B346" s="229"/>
      <c r="C346" s="186"/>
      <c r="D346" s="186"/>
      <c r="E346" s="231"/>
    </row>
    <row r="347" spans="1:5" x14ac:dyDescent="0.25">
      <c r="A347" s="193"/>
      <c r="B347" s="229"/>
      <c r="C347" s="186"/>
      <c r="D347" s="186"/>
      <c r="E347" s="231"/>
    </row>
    <row r="348" spans="1:5" x14ac:dyDescent="0.25">
      <c r="A348" s="193"/>
      <c r="B348" s="229"/>
      <c r="C348" s="186"/>
      <c r="D348" s="186"/>
      <c r="E348" s="231"/>
    </row>
    <row r="349" spans="1:5" x14ac:dyDescent="0.25">
      <c r="A349" s="193"/>
      <c r="B349" s="229"/>
      <c r="C349" s="186"/>
      <c r="D349" s="186"/>
      <c r="E349" s="231"/>
    </row>
    <row r="350" spans="1:5" x14ac:dyDescent="0.25">
      <c r="A350" s="193"/>
      <c r="B350" s="229"/>
      <c r="C350" s="186"/>
      <c r="D350" s="186"/>
      <c r="E350" s="231"/>
    </row>
    <row r="351" spans="1:5" x14ac:dyDescent="0.25">
      <c r="A351" s="193"/>
      <c r="B351" s="229"/>
      <c r="C351" s="186"/>
      <c r="D351" s="186"/>
      <c r="E351" s="231"/>
    </row>
    <row r="352" spans="1:5" x14ac:dyDescent="0.25">
      <c r="A352" s="193"/>
      <c r="B352" s="229"/>
      <c r="C352" s="186"/>
      <c r="D352" s="186"/>
      <c r="E352" s="231"/>
    </row>
    <row r="353" spans="1:5" x14ac:dyDescent="0.25">
      <c r="A353" s="193"/>
      <c r="B353" s="229"/>
      <c r="C353" s="186"/>
      <c r="D353" s="186"/>
      <c r="E353" s="231"/>
    </row>
    <row r="354" spans="1:5" x14ac:dyDescent="0.25">
      <c r="A354" s="193"/>
      <c r="B354" s="229"/>
      <c r="C354" s="186"/>
      <c r="D354" s="186"/>
      <c r="E354" s="231"/>
    </row>
    <row r="355" spans="1:5" x14ac:dyDescent="0.25">
      <c r="A355" s="193"/>
      <c r="B355" s="229"/>
      <c r="C355" s="186"/>
      <c r="D355" s="186"/>
      <c r="E355" s="231"/>
    </row>
    <row r="356" spans="1:5" x14ac:dyDescent="0.25">
      <c r="A356" s="193"/>
      <c r="B356" s="229"/>
      <c r="C356" s="186"/>
      <c r="D356" s="186"/>
      <c r="E356" s="231"/>
    </row>
    <row r="357" spans="1:5" x14ac:dyDescent="0.25">
      <c r="A357" s="193"/>
      <c r="B357" s="229"/>
      <c r="C357" s="186"/>
      <c r="D357" s="186"/>
      <c r="E357" s="231"/>
    </row>
    <row r="358" spans="1:5" x14ac:dyDescent="0.25">
      <c r="A358" s="193"/>
      <c r="B358" s="229"/>
      <c r="C358" s="186"/>
      <c r="D358" s="186"/>
      <c r="E358" s="231"/>
    </row>
    <row r="359" spans="1:5" x14ac:dyDescent="0.25">
      <c r="A359" s="193"/>
      <c r="B359" s="229"/>
      <c r="C359" s="186"/>
      <c r="D359" s="186"/>
      <c r="E359" s="231"/>
    </row>
    <row r="360" spans="1:5" x14ac:dyDescent="0.25">
      <c r="A360" s="193"/>
      <c r="B360" s="229"/>
      <c r="C360" s="186"/>
      <c r="D360" s="186"/>
      <c r="E360" s="231"/>
    </row>
    <row r="361" spans="1:5" x14ac:dyDescent="0.25">
      <c r="A361" s="193"/>
      <c r="B361" s="229"/>
      <c r="C361" s="186"/>
      <c r="D361" s="186"/>
      <c r="E361" s="231"/>
    </row>
    <row r="362" spans="1:5" x14ac:dyDescent="0.25">
      <c r="A362" s="193"/>
      <c r="B362" s="229"/>
      <c r="C362" s="186"/>
      <c r="D362" s="186"/>
      <c r="E362" s="231"/>
    </row>
    <row r="363" spans="1:5" x14ac:dyDescent="0.25">
      <c r="A363" s="193"/>
      <c r="B363" s="229"/>
      <c r="C363" s="186"/>
      <c r="D363" s="186"/>
      <c r="E363" s="231"/>
    </row>
    <row r="364" spans="1:5" x14ac:dyDescent="0.25">
      <c r="A364" s="193"/>
      <c r="B364" s="229"/>
      <c r="C364" s="186"/>
      <c r="D364" s="186"/>
      <c r="E364" s="231"/>
    </row>
    <row r="365" spans="1:5" x14ac:dyDescent="0.25">
      <c r="A365" s="193"/>
      <c r="B365" s="229"/>
      <c r="C365" s="186"/>
      <c r="D365" s="186"/>
      <c r="E365" s="231"/>
    </row>
    <row r="366" spans="1:5" x14ac:dyDescent="0.25">
      <c r="A366" s="193"/>
      <c r="B366" s="229"/>
      <c r="C366" s="186"/>
      <c r="D366" s="186"/>
      <c r="E366" s="231"/>
    </row>
    <row r="367" spans="1:5" x14ac:dyDescent="0.25">
      <c r="A367" s="193"/>
      <c r="B367" s="229"/>
      <c r="C367" s="186"/>
      <c r="D367" s="186"/>
      <c r="E367" s="231"/>
    </row>
    <row r="368" spans="1:5" x14ac:dyDescent="0.25">
      <c r="A368" s="193"/>
      <c r="B368" s="229"/>
      <c r="C368" s="186"/>
      <c r="D368" s="186"/>
      <c r="E368" s="231"/>
    </row>
    <row r="369" spans="1:5" x14ac:dyDescent="0.25">
      <c r="A369" s="193"/>
      <c r="B369" s="229"/>
      <c r="C369" s="186"/>
      <c r="D369" s="186"/>
      <c r="E369" s="231"/>
    </row>
    <row r="370" spans="1:5" x14ac:dyDescent="0.25">
      <c r="A370" s="193"/>
      <c r="B370" s="229"/>
      <c r="C370" s="186"/>
      <c r="D370" s="186"/>
      <c r="E370" s="231"/>
    </row>
    <row r="371" spans="1:5" x14ac:dyDescent="0.25">
      <c r="A371" s="193"/>
      <c r="B371" s="229"/>
      <c r="C371" s="186"/>
      <c r="D371" s="186"/>
      <c r="E371" s="231"/>
    </row>
    <row r="372" spans="1:5" x14ac:dyDescent="0.25">
      <c r="A372" s="193"/>
      <c r="B372" s="229"/>
      <c r="C372" s="186"/>
      <c r="D372" s="186"/>
      <c r="E372" s="231"/>
    </row>
    <row r="373" spans="1:5" x14ac:dyDescent="0.25">
      <c r="A373" s="193"/>
      <c r="B373" s="229"/>
      <c r="C373" s="186"/>
      <c r="D373" s="186"/>
      <c r="E373" s="231"/>
    </row>
    <row r="374" spans="1:5" x14ac:dyDescent="0.25">
      <c r="A374" s="193"/>
      <c r="B374" s="229"/>
      <c r="C374" s="186"/>
      <c r="D374" s="186"/>
      <c r="E374" s="231"/>
    </row>
    <row r="375" spans="1:5" x14ac:dyDescent="0.25">
      <c r="A375" s="193"/>
      <c r="B375" s="229"/>
      <c r="C375" s="186"/>
      <c r="D375" s="186"/>
      <c r="E375" s="231"/>
    </row>
    <row r="376" spans="1:5" x14ac:dyDescent="0.25">
      <c r="A376" s="193"/>
      <c r="B376" s="229"/>
      <c r="C376" s="186"/>
      <c r="D376" s="186"/>
      <c r="E376" s="231"/>
    </row>
    <row r="377" spans="1:5" x14ac:dyDescent="0.25">
      <c r="A377" s="193"/>
      <c r="B377" s="229"/>
      <c r="C377" s="186"/>
      <c r="D377" s="186"/>
      <c r="E377" s="231"/>
    </row>
    <row r="378" spans="1:5" x14ac:dyDescent="0.25">
      <c r="A378" s="193"/>
      <c r="B378" s="229"/>
      <c r="C378" s="186"/>
      <c r="D378" s="186"/>
      <c r="E378" s="231"/>
    </row>
    <row r="379" spans="1:5" x14ac:dyDescent="0.25">
      <c r="A379" s="193"/>
      <c r="B379" s="229"/>
      <c r="C379" s="186"/>
      <c r="D379" s="186"/>
      <c r="E379" s="231"/>
    </row>
    <row r="380" spans="1:5" x14ac:dyDescent="0.25">
      <c r="A380" s="193"/>
      <c r="B380" s="229"/>
      <c r="C380" s="186"/>
      <c r="D380" s="186"/>
      <c r="E380" s="231"/>
    </row>
    <row r="381" spans="1:5" x14ac:dyDescent="0.25">
      <c r="A381" s="193"/>
      <c r="B381" s="229"/>
      <c r="C381" s="186"/>
      <c r="D381" s="186"/>
      <c r="E381" s="231"/>
    </row>
    <row r="382" spans="1:5" x14ac:dyDescent="0.25">
      <c r="A382" s="193"/>
      <c r="B382" s="229"/>
      <c r="C382" s="186"/>
      <c r="D382" s="186"/>
      <c r="E382" s="231"/>
    </row>
    <row r="383" spans="1:5" x14ac:dyDescent="0.25">
      <c r="A383" s="193"/>
      <c r="B383" s="229"/>
      <c r="C383" s="186"/>
      <c r="D383" s="186"/>
      <c r="E383" s="231"/>
    </row>
    <row r="384" spans="1:5" x14ac:dyDescent="0.25">
      <c r="A384" s="193"/>
      <c r="B384" s="229"/>
      <c r="C384" s="186"/>
      <c r="D384" s="186"/>
      <c r="E384" s="231"/>
    </row>
    <row r="385" spans="1:5" x14ac:dyDescent="0.25">
      <c r="A385" s="193"/>
      <c r="B385" s="229"/>
      <c r="C385" s="186"/>
      <c r="D385" s="186"/>
      <c r="E385" s="231"/>
    </row>
    <row r="386" spans="1:5" x14ac:dyDescent="0.25">
      <c r="A386" s="193"/>
      <c r="B386" s="229"/>
      <c r="C386" s="186"/>
      <c r="D386" s="186"/>
      <c r="E386" s="231"/>
    </row>
    <row r="387" spans="1:5" x14ac:dyDescent="0.25">
      <c r="A387" s="193"/>
      <c r="B387" s="229"/>
      <c r="C387" s="186"/>
      <c r="D387" s="186"/>
      <c r="E387" s="231"/>
    </row>
    <row r="388" spans="1:5" x14ac:dyDescent="0.25">
      <c r="A388" s="193"/>
      <c r="B388" s="229"/>
      <c r="C388" s="186"/>
      <c r="D388" s="186"/>
      <c r="E388" s="231"/>
    </row>
    <row r="389" spans="1:5" x14ac:dyDescent="0.25">
      <c r="A389" s="193"/>
      <c r="B389" s="229"/>
      <c r="C389" s="186"/>
      <c r="D389" s="186"/>
      <c r="E389" s="231"/>
    </row>
    <row r="390" spans="1:5" x14ac:dyDescent="0.25">
      <c r="A390" s="193"/>
      <c r="B390" s="229"/>
      <c r="C390" s="186"/>
      <c r="D390" s="186"/>
      <c r="E390" s="231"/>
    </row>
    <row r="391" spans="1:5" x14ac:dyDescent="0.25">
      <c r="A391" s="193"/>
      <c r="B391" s="229"/>
      <c r="C391" s="186"/>
      <c r="D391" s="186"/>
      <c r="E391" s="231"/>
    </row>
    <row r="392" spans="1:5" x14ac:dyDescent="0.25">
      <c r="A392" s="193"/>
      <c r="B392" s="229"/>
      <c r="C392" s="186"/>
      <c r="D392" s="186"/>
      <c r="E392" s="231"/>
    </row>
    <row r="393" spans="1:5" x14ac:dyDescent="0.25">
      <c r="A393" s="193"/>
      <c r="B393" s="229"/>
      <c r="C393" s="186"/>
      <c r="D393" s="186"/>
      <c r="E393" s="231"/>
    </row>
    <row r="394" spans="1:5" x14ac:dyDescent="0.25">
      <c r="A394" s="193"/>
      <c r="B394" s="229"/>
      <c r="C394" s="186"/>
      <c r="D394" s="186"/>
      <c r="E394" s="231"/>
    </row>
    <row r="395" spans="1:5" x14ac:dyDescent="0.25">
      <c r="A395" s="193"/>
      <c r="B395" s="229"/>
      <c r="C395" s="186"/>
      <c r="D395" s="186"/>
      <c r="E395" s="231"/>
    </row>
    <row r="396" spans="1:5" x14ac:dyDescent="0.25">
      <c r="A396" s="193"/>
      <c r="B396" s="229"/>
      <c r="C396" s="186"/>
      <c r="D396" s="186"/>
      <c r="E396" s="231"/>
    </row>
    <row r="397" spans="1:5" x14ac:dyDescent="0.25">
      <c r="A397" s="193"/>
      <c r="B397" s="229"/>
      <c r="C397" s="186"/>
      <c r="D397" s="186"/>
      <c r="E397" s="231"/>
    </row>
    <row r="398" spans="1:5" x14ac:dyDescent="0.25">
      <c r="A398" s="193"/>
      <c r="B398" s="229"/>
      <c r="C398" s="186"/>
      <c r="D398" s="186"/>
      <c r="E398" s="231"/>
    </row>
    <row r="399" spans="1:5" x14ac:dyDescent="0.25">
      <c r="A399" s="193"/>
      <c r="B399" s="229"/>
      <c r="C399" s="186"/>
      <c r="D399" s="186"/>
      <c r="E399" s="231"/>
    </row>
    <row r="400" spans="1:5" x14ac:dyDescent="0.25">
      <c r="A400" s="193"/>
      <c r="B400" s="229"/>
      <c r="C400" s="186"/>
      <c r="D400" s="186"/>
      <c r="E400" s="231"/>
    </row>
    <row r="401" spans="1:5" x14ac:dyDescent="0.25">
      <c r="A401" s="193"/>
      <c r="B401" s="229"/>
      <c r="C401" s="186"/>
      <c r="D401" s="186"/>
      <c r="E401" s="231"/>
    </row>
    <row r="402" spans="1:5" x14ac:dyDescent="0.25">
      <c r="A402" s="193"/>
      <c r="B402" s="229"/>
      <c r="C402" s="186"/>
      <c r="D402" s="186"/>
      <c r="E402" s="231"/>
    </row>
    <row r="403" spans="1:5" x14ac:dyDescent="0.25">
      <c r="A403" s="193"/>
      <c r="B403" s="229"/>
      <c r="C403" s="186"/>
      <c r="D403" s="186"/>
      <c r="E403" s="231"/>
    </row>
    <row r="404" spans="1:5" x14ac:dyDescent="0.25">
      <c r="A404" s="193"/>
      <c r="B404" s="229"/>
      <c r="C404" s="186"/>
      <c r="D404" s="186"/>
      <c r="E404" s="231"/>
    </row>
    <row r="405" spans="1:5" x14ac:dyDescent="0.25">
      <c r="A405" s="193"/>
      <c r="B405" s="229"/>
      <c r="C405" s="186"/>
      <c r="D405" s="186"/>
      <c r="E405" s="231"/>
    </row>
    <row r="406" spans="1:5" x14ac:dyDescent="0.25">
      <c r="A406" s="193"/>
      <c r="B406" s="229"/>
      <c r="C406" s="186"/>
      <c r="D406" s="186"/>
      <c r="E406" s="231"/>
    </row>
    <row r="407" spans="1:5" x14ac:dyDescent="0.25">
      <c r="A407" s="193"/>
      <c r="B407" s="229"/>
      <c r="C407" s="186"/>
      <c r="D407" s="186"/>
      <c r="E407" s="231"/>
    </row>
    <row r="408" spans="1:5" x14ac:dyDescent="0.25">
      <c r="A408" s="193"/>
      <c r="B408" s="229"/>
      <c r="C408" s="186"/>
      <c r="D408" s="186"/>
      <c r="E408" s="231"/>
    </row>
    <row r="409" spans="1:5" x14ac:dyDescent="0.25">
      <c r="A409" s="193"/>
      <c r="B409" s="229"/>
      <c r="C409" s="186"/>
      <c r="D409" s="186"/>
      <c r="E409" s="231"/>
    </row>
    <row r="410" spans="1:5" x14ac:dyDescent="0.25">
      <c r="A410" s="193"/>
      <c r="B410" s="229"/>
      <c r="C410" s="186"/>
      <c r="D410" s="186"/>
      <c r="E410" s="231"/>
    </row>
    <row r="411" spans="1:5" x14ac:dyDescent="0.25">
      <c r="A411" s="193"/>
      <c r="B411" s="229"/>
      <c r="C411" s="186"/>
      <c r="D411" s="186"/>
      <c r="E411" s="231"/>
    </row>
    <row r="412" spans="1:5" x14ac:dyDescent="0.25">
      <c r="A412" s="193"/>
      <c r="B412" s="229"/>
      <c r="C412" s="186"/>
      <c r="D412" s="186"/>
      <c r="E412" s="231"/>
    </row>
    <row r="413" spans="1:5" x14ac:dyDescent="0.25">
      <c r="A413" s="193"/>
      <c r="B413" s="229"/>
      <c r="C413" s="186"/>
      <c r="D413" s="186"/>
      <c r="E413" s="231"/>
    </row>
    <row r="414" spans="1:5" x14ac:dyDescent="0.25">
      <c r="A414" s="193"/>
      <c r="B414" s="229"/>
      <c r="C414" s="186"/>
      <c r="D414" s="186"/>
      <c r="E414" s="231"/>
    </row>
    <row r="415" spans="1:5" x14ac:dyDescent="0.25">
      <c r="A415" s="193"/>
      <c r="B415" s="229"/>
      <c r="C415" s="186"/>
      <c r="D415" s="186"/>
      <c r="E415" s="231"/>
    </row>
    <row r="416" spans="1:5" x14ac:dyDescent="0.25">
      <c r="A416" s="193"/>
      <c r="B416" s="229"/>
      <c r="C416" s="186"/>
      <c r="D416" s="186"/>
      <c r="E416" s="231"/>
    </row>
    <row r="417" spans="1:5" x14ac:dyDescent="0.25">
      <c r="A417" s="193"/>
      <c r="B417" s="229"/>
      <c r="C417" s="186"/>
      <c r="D417" s="186"/>
      <c r="E417" s="231"/>
    </row>
    <row r="418" spans="1:5" x14ac:dyDescent="0.25">
      <c r="A418" s="193"/>
      <c r="B418" s="229"/>
      <c r="C418" s="186"/>
      <c r="D418" s="186"/>
      <c r="E418" s="231"/>
    </row>
    <row r="419" spans="1:5" x14ac:dyDescent="0.25">
      <c r="A419" s="193"/>
      <c r="B419" s="229"/>
      <c r="C419" s="186"/>
      <c r="D419" s="186"/>
      <c r="E419" s="231"/>
    </row>
    <row r="420" spans="1:5" x14ac:dyDescent="0.25">
      <c r="A420" s="193"/>
      <c r="B420" s="229"/>
      <c r="C420" s="186"/>
      <c r="D420" s="186"/>
      <c r="E420" s="231"/>
    </row>
    <row r="421" spans="1:5" x14ac:dyDescent="0.25">
      <c r="A421" s="193"/>
      <c r="B421" s="229"/>
      <c r="C421" s="186"/>
      <c r="D421" s="186"/>
      <c r="E421" s="231"/>
    </row>
    <row r="422" spans="1:5" x14ac:dyDescent="0.25">
      <c r="A422" s="193"/>
      <c r="B422" s="229"/>
      <c r="C422" s="186"/>
      <c r="D422" s="186"/>
      <c r="E422" s="231"/>
    </row>
    <row r="423" spans="1:5" x14ac:dyDescent="0.25">
      <c r="A423" s="193"/>
      <c r="B423" s="229"/>
      <c r="C423" s="186"/>
      <c r="D423" s="186"/>
      <c r="E423" s="231"/>
    </row>
    <row r="424" spans="1:5" x14ac:dyDescent="0.25">
      <c r="A424" s="193"/>
      <c r="B424" s="229"/>
      <c r="C424" s="186"/>
      <c r="D424" s="186"/>
      <c r="E424" s="231"/>
    </row>
    <row r="425" spans="1:5" x14ac:dyDescent="0.25">
      <c r="A425" s="193"/>
      <c r="B425" s="229"/>
      <c r="C425" s="186"/>
      <c r="D425" s="186"/>
      <c r="E425" s="231"/>
    </row>
    <row r="426" spans="1:5" x14ac:dyDescent="0.25">
      <c r="A426" s="193"/>
      <c r="B426" s="229"/>
      <c r="C426" s="186"/>
      <c r="D426" s="186"/>
      <c r="E426" s="231"/>
    </row>
    <row r="427" spans="1:5" x14ac:dyDescent="0.25">
      <c r="A427" s="193"/>
      <c r="B427" s="229"/>
      <c r="C427" s="186"/>
      <c r="D427" s="186"/>
      <c r="E427" s="231"/>
    </row>
    <row r="428" spans="1:5" x14ac:dyDescent="0.25">
      <c r="A428" s="193"/>
      <c r="B428" s="229"/>
      <c r="C428" s="186"/>
      <c r="D428" s="186"/>
      <c r="E428" s="231"/>
    </row>
    <row r="429" spans="1:5" x14ac:dyDescent="0.25">
      <c r="A429" s="193"/>
      <c r="B429" s="229"/>
      <c r="C429" s="186"/>
      <c r="D429" s="186"/>
      <c r="E429" s="231"/>
    </row>
    <row r="430" spans="1:5" x14ac:dyDescent="0.25">
      <c r="A430" s="193"/>
      <c r="B430" s="229"/>
      <c r="C430" s="186"/>
      <c r="D430" s="186"/>
      <c r="E430" s="231"/>
    </row>
    <row r="431" spans="1:5" x14ac:dyDescent="0.25">
      <c r="A431" s="193"/>
      <c r="B431" s="229"/>
      <c r="C431" s="186"/>
      <c r="D431" s="186"/>
      <c r="E431" s="231"/>
    </row>
    <row r="432" spans="1:5" x14ac:dyDescent="0.25">
      <c r="A432" s="193"/>
      <c r="B432" s="229"/>
      <c r="C432" s="186"/>
      <c r="D432" s="186"/>
      <c r="E432" s="231"/>
    </row>
    <row r="433" spans="1:5" x14ac:dyDescent="0.25">
      <c r="A433" s="193"/>
      <c r="B433" s="229"/>
      <c r="C433" s="186"/>
      <c r="D433" s="186"/>
      <c r="E433" s="231"/>
    </row>
    <row r="434" spans="1:5" x14ac:dyDescent="0.25">
      <c r="A434" s="193"/>
      <c r="B434" s="229"/>
      <c r="C434" s="186"/>
      <c r="D434" s="186"/>
      <c r="E434" s="231"/>
    </row>
    <row r="435" spans="1:5" x14ac:dyDescent="0.25">
      <c r="A435" s="193"/>
      <c r="B435" s="229"/>
      <c r="C435" s="186"/>
      <c r="D435" s="186"/>
      <c r="E435" s="231"/>
    </row>
    <row r="436" spans="1:5" x14ac:dyDescent="0.25">
      <c r="A436" s="193"/>
      <c r="B436" s="229"/>
      <c r="C436" s="186"/>
      <c r="D436" s="186"/>
      <c r="E436" s="231"/>
    </row>
    <row r="437" spans="1:5" x14ac:dyDescent="0.25">
      <c r="A437" s="193"/>
      <c r="B437" s="229"/>
      <c r="C437" s="186"/>
      <c r="D437" s="186"/>
      <c r="E437" s="231"/>
    </row>
    <row r="438" spans="1:5" x14ac:dyDescent="0.25">
      <c r="A438" s="193"/>
      <c r="B438" s="229"/>
      <c r="C438" s="186"/>
      <c r="D438" s="186"/>
      <c r="E438" s="231"/>
    </row>
    <row r="439" spans="1:5" x14ac:dyDescent="0.25">
      <c r="A439" s="193"/>
      <c r="B439" s="229"/>
      <c r="C439" s="186"/>
      <c r="D439" s="186"/>
      <c r="E439" s="231"/>
    </row>
    <row r="440" spans="1:5" x14ac:dyDescent="0.25">
      <c r="A440" s="193"/>
      <c r="B440" s="229"/>
      <c r="C440" s="186"/>
      <c r="D440" s="186"/>
      <c r="E440" s="231"/>
    </row>
    <row r="441" spans="1:5" x14ac:dyDescent="0.25">
      <c r="A441" s="193"/>
      <c r="B441" s="229"/>
      <c r="C441" s="186"/>
      <c r="D441" s="186"/>
      <c r="E441" s="231"/>
    </row>
    <row r="442" spans="1:5" x14ac:dyDescent="0.25">
      <c r="A442" s="193"/>
      <c r="B442" s="229"/>
      <c r="C442" s="186"/>
      <c r="D442" s="186"/>
      <c r="E442" s="231"/>
    </row>
    <row r="443" spans="1:5" x14ac:dyDescent="0.25">
      <c r="A443" s="193"/>
      <c r="B443" s="229"/>
      <c r="C443" s="186"/>
      <c r="D443" s="186"/>
      <c r="E443" s="231"/>
    </row>
    <row r="444" spans="1:5" x14ac:dyDescent="0.25">
      <c r="A444" s="193"/>
      <c r="B444" s="229"/>
      <c r="C444" s="186"/>
      <c r="D444" s="186"/>
      <c r="E444" s="231"/>
    </row>
    <row r="445" spans="1:5" x14ac:dyDescent="0.25">
      <c r="A445" s="193"/>
      <c r="B445" s="229"/>
      <c r="C445" s="186"/>
      <c r="D445" s="186"/>
      <c r="E445" s="231"/>
    </row>
    <row r="446" spans="1:5" x14ac:dyDescent="0.25">
      <c r="A446" s="193"/>
      <c r="B446" s="229"/>
      <c r="C446" s="186"/>
      <c r="D446" s="186"/>
      <c r="E446" s="231"/>
    </row>
    <row r="447" spans="1:5" x14ac:dyDescent="0.25">
      <c r="A447" s="193"/>
      <c r="B447" s="229"/>
      <c r="C447" s="186"/>
      <c r="D447" s="186"/>
      <c r="E447" s="231"/>
    </row>
    <row r="448" spans="1:5" x14ac:dyDescent="0.25">
      <c r="A448" s="193"/>
      <c r="B448" s="229"/>
      <c r="C448" s="186"/>
      <c r="D448" s="186"/>
      <c r="E448" s="231"/>
    </row>
    <row r="449" spans="1:5" x14ac:dyDescent="0.25">
      <c r="A449" s="193"/>
      <c r="B449" s="229"/>
      <c r="C449" s="186"/>
      <c r="D449" s="186"/>
      <c r="E449" s="231"/>
    </row>
    <row r="450" spans="1:5" x14ac:dyDescent="0.25">
      <c r="A450" s="193"/>
      <c r="B450" s="229"/>
      <c r="C450" s="186"/>
      <c r="D450" s="186"/>
      <c r="E450" s="231"/>
    </row>
    <row r="451" spans="1:5" x14ac:dyDescent="0.25">
      <c r="A451" s="193"/>
      <c r="B451" s="229"/>
      <c r="C451" s="186"/>
      <c r="D451" s="186"/>
      <c r="E451" s="231"/>
    </row>
    <row r="452" spans="1:5" x14ac:dyDescent="0.25">
      <c r="A452" s="193"/>
      <c r="B452" s="229"/>
      <c r="C452" s="186"/>
      <c r="D452" s="186"/>
      <c r="E452" s="231"/>
    </row>
    <row r="453" spans="1:5" x14ac:dyDescent="0.25">
      <c r="A453" s="193"/>
      <c r="B453" s="229"/>
      <c r="C453" s="186"/>
      <c r="D453" s="186"/>
      <c r="E453" s="231"/>
    </row>
    <row r="454" spans="1:5" x14ac:dyDescent="0.25">
      <c r="A454" s="193"/>
      <c r="B454" s="229"/>
      <c r="C454" s="186"/>
      <c r="D454" s="186"/>
      <c r="E454" s="231"/>
    </row>
    <row r="455" spans="1:5" x14ac:dyDescent="0.25">
      <c r="A455" s="193"/>
      <c r="B455" s="229"/>
      <c r="C455" s="186"/>
      <c r="D455" s="186"/>
      <c r="E455" s="231"/>
    </row>
    <row r="456" spans="1:5" x14ac:dyDescent="0.25">
      <c r="A456" s="193"/>
      <c r="B456" s="229"/>
      <c r="C456" s="186"/>
      <c r="D456" s="186"/>
      <c r="E456" s="231"/>
    </row>
    <row r="457" spans="1:5" x14ac:dyDescent="0.25">
      <c r="A457" s="193"/>
      <c r="B457" s="229"/>
      <c r="C457" s="186"/>
      <c r="D457" s="186"/>
      <c r="E457" s="231"/>
    </row>
    <row r="458" spans="1:5" x14ac:dyDescent="0.25">
      <c r="A458" s="193"/>
      <c r="B458" s="229"/>
      <c r="C458" s="186"/>
      <c r="D458" s="186"/>
      <c r="E458" s="231"/>
    </row>
    <row r="459" spans="1:5" x14ac:dyDescent="0.25">
      <c r="A459" s="193"/>
      <c r="B459" s="229"/>
      <c r="C459" s="186"/>
      <c r="D459" s="186"/>
      <c r="E459" s="231"/>
    </row>
    <row r="460" spans="1:5" x14ac:dyDescent="0.25">
      <c r="A460" s="193"/>
      <c r="B460" s="229"/>
      <c r="C460" s="186"/>
      <c r="D460" s="186"/>
      <c r="E460" s="231"/>
    </row>
    <row r="461" spans="1:5" x14ac:dyDescent="0.25">
      <c r="A461" s="193"/>
      <c r="B461" s="229"/>
      <c r="C461" s="186"/>
      <c r="D461" s="186"/>
      <c r="E461" s="231"/>
    </row>
    <row r="462" spans="1:5" x14ac:dyDescent="0.25">
      <c r="A462" s="193"/>
      <c r="B462" s="229"/>
      <c r="C462" s="186"/>
      <c r="D462" s="186"/>
      <c r="E462" s="231"/>
    </row>
    <row r="463" spans="1:5" x14ac:dyDescent="0.25">
      <c r="A463" s="193"/>
      <c r="B463" s="229"/>
      <c r="C463" s="186"/>
      <c r="D463" s="186"/>
      <c r="E463" s="231"/>
    </row>
    <row r="464" spans="1:5" x14ac:dyDescent="0.25">
      <c r="A464" s="193"/>
      <c r="B464" s="229"/>
      <c r="C464" s="186"/>
      <c r="D464" s="186"/>
      <c r="E464" s="231"/>
    </row>
    <row r="465" spans="1:5" x14ac:dyDescent="0.25">
      <c r="A465" s="193"/>
      <c r="B465" s="229"/>
      <c r="C465" s="186"/>
      <c r="D465" s="186"/>
      <c r="E465" s="231"/>
    </row>
    <row r="466" spans="1:5" x14ac:dyDescent="0.25">
      <c r="A466" s="193"/>
      <c r="B466" s="229"/>
      <c r="C466" s="186"/>
      <c r="D466" s="186"/>
      <c r="E466" s="231"/>
    </row>
    <row r="467" spans="1:5" x14ac:dyDescent="0.25">
      <c r="A467" s="193"/>
      <c r="B467" s="229"/>
      <c r="C467" s="186"/>
      <c r="D467" s="186"/>
      <c r="E467" s="231"/>
    </row>
    <row r="468" spans="1:5" x14ac:dyDescent="0.25">
      <c r="A468" s="193"/>
      <c r="B468" s="229"/>
      <c r="C468" s="186"/>
      <c r="D468" s="186"/>
      <c r="E468" s="231"/>
    </row>
    <row r="469" spans="1:5" x14ac:dyDescent="0.25">
      <c r="A469" s="193"/>
      <c r="B469" s="229"/>
      <c r="C469" s="186"/>
      <c r="D469" s="186"/>
      <c r="E469" s="231"/>
    </row>
    <row r="470" spans="1:5" x14ac:dyDescent="0.25">
      <c r="A470" s="193"/>
      <c r="B470" s="229"/>
      <c r="C470" s="186"/>
      <c r="D470" s="186"/>
      <c r="E470" s="231"/>
    </row>
    <row r="471" spans="1:5" x14ac:dyDescent="0.25">
      <c r="A471" s="193"/>
      <c r="B471" s="229"/>
      <c r="C471" s="186"/>
      <c r="D471" s="186"/>
      <c r="E471" s="231"/>
    </row>
    <row r="472" spans="1:5" x14ac:dyDescent="0.25">
      <c r="A472" s="193"/>
      <c r="B472" s="229"/>
      <c r="C472" s="186"/>
      <c r="D472" s="186"/>
      <c r="E472" s="231"/>
    </row>
    <row r="473" spans="1:5" x14ac:dyDescent="0.25">
      <c r="A473" s="193"/>
      <c r="B473" s="229"/>
      <c r="C473" s="186"/>
      <c r="D473" s="186"/>
      <c r="E473" s="231"/>
    </row>
    <row r="474" spans="1:5" x14ac:dyDescent="0.25">
      <c r="A474" s="193"/>
      <c r="B474" s="229"/>
      <c r="C474" s="186"/>
      <c r="D474" s="186"/>
      <c r="E474" s="231"/>
    </row>
    <row r="475" spans="1:5" x14ac:dyDescent="0.25">
      <c r="A475" s="193"/>
      <c r="B475" s="229"/>
      <c r="C475" s="186"/>
      <c r="D475" s="186"/>
      <c r="E475" s="231"/>
    </row>
    <row r="476" spans="1:5" x14ac:dyDescent="0.25">
      <c r="A476" s="193"/>
      <c r="B476" s="229"/>
      <c r="C476" s="186"/>
      <c r="D476" s="186"/>
      <c r="E476" s="231"/>
    </row>
    <row r="477" spans="1:5" x14ac:dyDescent="0.25">
      <c r="A477" s="193"/>
      <c r="B477" s="229"/>
      <c r="C477" s="186"/>
      <c r="D477" s="186"/>
      <c r="E477" s="231"/>
    </row>
    <row r="478" spans="1:5" x14ac:dyDescent="0.25">
      <c r="A478" s="193"/>
      <c r="B478" s="229"/>
      <c r="C478" s="186"/>
      <c r="D478" s="186"/>
      <c r="E478" s="231"/>
    </row>
    <row r="479" spans="1:5" x14ac:dyDescent="0.25">
      <c r="A479" s="193"/>
      <c r="B479" s="229"/>
      <c r="C479" s="186"/>
      <c r="D479" s="186"/>
      <c r="E479" s="231"/>
    </row>
    <row r="480" spans="1:5" x14ac:dyDescent="0.25">
      <c r="A480" s="193"/>
      <c r="B480" s="229"/>
      <c r="C480" s="186"/>
      <c r="D480" s="186"/>
      <c r="E480" s="231"/>
    </row>
    <row r="481" spans="1:5" x14ac:dyDescent="0.25">
      <c r="A481" s="193"/>
      <c r="B481" s="229"/>
      <c r="C481" s="186"/>
      <c r="D481" s="186"/>
      <c r="E481" s="231"/>
    </row>
    <row r="482" spans="1:5" x14ac:dyDescent="0.25">
      <c r="A482" s="193"/>
      <c r="B482" s="229"/>
      <c r="C482" s="186"/>
      <c r="D482" s="186"/>
      <c r="E482" s="231"/>
    </row>
    <row r="483" spans="1:5" x14ac:dyDescent="0.25">
      <c r="A483" s="193"/>
      <c r="B483" s="229"/>
      <c r="C483" s="186"/>
      <c r="D483" s="186"/>
      <c r="E483" s="231"/>
    </row>
    <row r="484" spans="1:5" x14ac:dyDescent="0.25">
      <c r="A484" s="193"/>
      <c r="B484" s="229"/>
      <c r="C484" s="186"/>
      <c r="D484" s="186"/>
      <c r="E484" s="231"/>
    </row>
    <row r="485" spans="1:5" x14ac:dyDescent="0.25">
      <c r="A485" s="193"/>
      <c r="B485" s="229"/>
      <c r="C485" s="186"/>
      <c r="D485" s="186"/>
      <c r="E485" s="231"/>
    </row>
    <row r="486" spans="1:5" x14ac:dyDescent="0.25">
      <c r="A486" s="193"/>
      <c r="B486" s="229"/>
      <c r="C486" s="186"/>
      <c r="D486" s="186"/>
      <c r="E486" s="231"/>
    </row>
    <row r="487" spans="1:5" x14ac:dyDescent="0.25">
      <c r="A487" s="193"/>
      <c r="B487" s="229"/>
      <c r="C487" s="186"/>
      <c r="D487" s="186"/>
      <c r="E487" s="231"/>
    </row>
    <row r="488" spans="1:5" x14ac:dyDescent="0.25">
      <c r="A488" s="193"/>
      <c r="B488" s="229"/>
      <c r="C488" s="186"/>
      <c r="D488" s="186"/>
      <c r="E488" s="231"/>
    </row>
    <row r="489" spans="1:5" x14ac:dyDescent="0.25">
      <c r="A489" s="193"/>
      <c r="B489" s="229"/>
      <c r="C489" s="186"/>
      <c r="D489" s="186"/>
      <c r="E489" s="231"/>
    </row>
    <row r="490" spans="1:5" x14ac:dyDescent="0.25">
      <c r="A490" s="193"/>
      <c r="B490" s="229"/>
      <c r="C490" s="186"/>
      <c r="D490" s="186"/>
      <c r="E490" s="231"/>
    </row>
    <row r="491" spans="1:5" x14ac:dyDescent="0.25">
      <c r="A491" s="193"/>
      <c r="B491" s="229"/>
      <c r="C491" s="186"/>
      <c r="D491" s="186"/>
      <c r="E491" s="231"/>
    </row>
    <row r="492" spans="1:5" x14ac:dyDescent="0.25">
      <c r="A492" s="193"/>
      <c r="B492" s="229"/>
      <c r="C492" s="186"/>
      <c r="D492" s="186"/>
      <c r="E492" s="231"/>
    </row>
    <row r="493" spans="1:5" x14ac:dyDescent="0.25">
      <c r="A493" s="193"/>
      <c r="B493" s="229"/>
      <c r="C493" s="186"/>
      <c r="D493" s="186"/>
      <c r="E493" s="231"/>
    </row>
    <row r="494" spans="1:5" x14ac:dyDescent="0.25">
      <c r="A494" s="193"/>
      <c r="B494" s="229"/>
      <c r="C494" s="186"/>
      <c r="D494" s="186"/>
      <c r="E494" s="231"/>
    </row>
    <row r="495" spans="1:5" x14ac:dyDescent="0.25">
      <c r="A495" s="193"/>
      <c r="B495" s="229"/>
      <c r="C495" s="186"/>
      <c r="D495" s="186"/>
      <c r="E495" s="231"/>
    </row>
    <row r="496" spans="1:5" x14ac:dyDescent="0.25">
      <c r="A496" s="193"/>
      <c r="B496" s="229"/>
      <c r="C496" s="186"/>
      <c r="D496" s="186"/>
      <c r="E496" s="231"/>
    </row>
    <row r="497" spans="1:5" x14ac:dyDescent="0.25">
      <c r="A497" s="193"/>
      <c r="B497" s="229"/>
      <c r="C497" s="186"/>
      <c r="D497" s="186"/>
      <c r="E497" s="231"/>
    </row>
    <row r="498" spans="1:5" x14ac:dyDescent="0.25">
      <c r="A498" s="193"/>
      <c r="B498" s="229"/>
      <c r="C498" s="186"/>
      <c r="D498" s="186"/>
      <c r="E498" s="231"/>
    </row>
    <row r="499" spans="1:5" x14ac:dyDescent="0.25">
      <c r="A499" s="193"/>
      <c r="B499" s="229"/>
      <c r="C499" s="186"/>
      <c r="D499" s="186"/>
      <c r="E499" s="231"/>
    </row>
    <row r="500" spans="1:5" x14ac:dyDescent="0.25">
      <c r="A500" s="193"/>
      <c r="B500" s="229"/>
      <c r="C500" s="186"/>
      <c r="D500" s="186"/>
      <c r="E500" s="231"/>
    </row>
    <row r="501" spans="1:5" x14ac:dyDescent="0.25">
      <c r="A501" s="193"/>
      <c r="B501" s="229"/>
      <c r="C501" s="186"/>
      <c r="D501" s="186"/>
      <c r="E501" s="231"/>
    </row>
    <row r="502" spans="1:5" x14ac:dyDescent="0.25">
      <c r="A502" s="193"/>
      <c r="B502" s="229"/>
      <c r="C502" s="186"/>
      <c r="D502" s="186"/>
      <c r="E502" s="231"/>
    </row>
    <row r="503" spans="1:5" x14ac:dyDescent="0.25">
      <c r="A503" s="193"/>
      <c r="B503" s="229"/>
      <c r="C503" s="186"/>
      <c r="D503" s="186"/>
      <c r="E503" s="231"/>
    </row>
    <row r="504" spans="1:5" x14ac:dyDescent="0.25">
      <c r="A504" s="193"/>
      <c r="B504" s="229"/>
      <c r="C504" s="186"/>
      <c r="D504" s="186"/>
      <c r="E504" s="231"/>
    </row>
    <row r="505" spans="1:5" x14ac:dyDescent="0.25">
      <c r="A505" s="193"/>
      <c r="B505" s="229"/>
      <c r="C505" s="186"/>
      <c r="D505" s="186"/>
      <c r="E505" s="231"/>
    </row>
    <row r="506" spans="1:5" x14ac:dyDescent="0.25">
      <c r="A506" s="193"/>
      <c r="B506" s="229"/>
      <c r="C506" s="186"/>
      <c r="D506" s="186"/>
      <c r="E506" s="231"/>
    </row>
    <row r="507" spans="1:5" x14ac:dyDescent="0.25">
      <c r="A507" s="193"/>
      <c r="B507" s="229"/>
      <c r="C507" s="186"/>
      <c r="D507" s="186"/>
      <c r="E507" s="231"/>
    </row>
    <row r="508" spans="1:5" x14ac:dyDescent="0.25">
      <c r="A508" s="193"/>
      <c r="B508" s="229"/>
      <c r="C508" s="186"/>
      <c r="D508" s="186"/>
      <c r="E508" s="231"/>
    </row>
    <row r="509" spans="1:5" x14ac:dyDescent="0.25">
      <c r="A509" s="193"/>
      <c r="B509" s="229"/>
      <c r="C509" s="186"/>
      <c r="D509" s="186"/>
      <c r="E509" s="231"/>
    </row>
    <row r="510" spans="1:5" x14ac:dyDescent="0.25">
      <c r="A510" s="193"/>
      <c r="B510" s="229"/>
      <c r="C510" s="186"/>
      <c r="D510" s="186"/>
      <c r="E510" s="231"/>
    </row>
    <row r="511" spans="1:5" x14ac:dyDescent="0.25">
      <c r="A511" s="193"/>
      <c r="B511" s="229"/>
      <c r="C511" s="186"/>
      <c r="D511" s="186"/>
      <c r="E511" s="231"/>
    </row>
    <row r="512" spans="1:5" x14ac:dyDescent="0.25">
      <c r="A512" s="193"/>
      <c r="B512" s="229"/>
      <c r="C512" s="186"/>
      <c r="D512" s="186"/>
      <c r="E512" s="231"/>
    </row>
    <row r="513" spans="1:5" x14ac:dyDescent="0.25">
      <c r="A513" s="193"/>
      <c r="B513" s="229"/>
      <c r="C513" s="186"/>
      <c r="D513" s="186"/>
      <c r="E513" s="231"/>
    </row>
    <row r="514" spans="1:5" x14ac:dyDescent="0.25">
      <c r="A514" s="193"/>
      <c r="B514" s="229"/>
      <c r="C514" s="186"/>
      <c r="D514" s="186"/>
      <c r="E514" s="231"/>
    </row>
    <row r="515" spans="1:5" x14ac:dyDescent="0.25">
      <c r="A515" s="193"/>
      <c r="B515" s="229"/>
      <c r="C515" s="186"/>
      <c r="D515" s="186"/>
      <c r="E515" s="231"/>
    </row>
    <row r="516" spans="1:5" x14ac:dyDescent="0.25">
      <c r="A516" s="193"/>
      <c r="B516" s="229"/>
      <c r="C516" s="186"/>
      <c r="D516" s="186"/>
      <c r="E516" s="231"/>
    </row>
    <row r="517" spans="1:5" x14ac:dyDescent="0.25">
      <c r="A517" s="193"/>
      <c r="B517" s="229"/>
      <c r="C517" s="186"/>
      <c r="D517" s="186"/>
      <c r="E517" s="231"/>
    </row>
    <row r="518" spans="1:5" x14ac:dyDescent="0.25">
      <c r="A518" s="193"/>
      <c r="B518" s="229"/>
      <c r="C518" s="186"/>
      <c r="D518" s="186"/>
      <c r="E518" s="231"/>
    </row>
    <row r="519" spans="1:5" x14ac:dyDescent="0.25">
      <c r="A519" s="193"/>
      <c r="B519" s="229"/>
      <c r="C519" s="186"/>
      <c r="D519" s="186"/>
      <c r="E519" s="231"/>
    </row>
    <row r="520" spans="1:5" x14ac:dyDescent="0.25">
      <c r="A520" s="193"/>
      <c r="B520" s="229"/>
      <c r="C520" s="186"/>
      <c r="D520" s="186"/>
      <c r="E520" s="231"/>
    </row>
    <row r="521" spans="1:5" x14ac:dyDescent="0.25">
      <c r="A521" s="193"/>
      <c r="B521" s="229"/>
      <c r="C521" s="186"/>
      <c r="D521" s="186"/>
      <c r="E521" s="231"/>
    </row>
    <row r="522" spans="1:5" x14ac:dyDescent="0.25">
      <c r="A522" s="193"/>
      <c r="B522" s="229"/>
      <c r="C522" s="186"/>
      <c r="D522" s="186"/>
      <c r="E522" s="231"/>
    </row>
    <row r="523" spans="1:5" x14ac:dyDescent="0.25">
      <c r="A523" s="193"/>
      <c r="B523" s="229"/>
      <c r="C523" s="186"/>
      <c r="D523" s="186"/>
      <c r="E523" s="231"/>
    </row>
    <row r="524" spans="1:5" x14ac:dyDescent="0.25">
      <c r="A524" s="193"/>
      <c r="B524" s="229"/>
      <c r="C524" s="186"/>
      <c r="D524" s="186"/>
      <c r="E524" s="231"/>
    </row>
    <row r="525" spans="1:5" x14ac:dyDescent="0.25">
      <c r="A525" s="193"/>
      <c r="B525" s="229"/>
      <c r="C525" s="186"/>
      <c r="D525" s="186"/>
      <c r="E525" s="231"/>
    </row>
    <row r="526" spans="1:5" x14ac:dyDescent="0.25">
      <c r="A526" s="193"/>
      <c r="B526" s="229"/>
      <c r="C526" s="186"/>
      <c r="D526" s="186"/>
      <c r="E526" s="231"/>
    </row>
    <row r="527" spans="1:5" x14ac:dyDescent="0.25">
      <c r="A527" s="193"/>
      <c r="B527" s="229"/>
      <c r="C527" s="186"/>
      <c r="D527" s="186"/>
      <c r="E527" s="231"/>
    </row>
    <row r="528" spans="1:5" x14ac:dyDescent="0.25">
      <c r="A528" s="193"/>
      <c r="B528" s="229"/>
      <c r="C528" s="186"/>
      <c r="D528" s="186"/>
      <c r="E528" s="231"/>
    </row>
    <row r="529" spans="1:5" x14ac:dyDescent="0.25">
      <c r="A529" s="193"/>
      <c r="B529" s="229"/>
      <c r="C529" s="186"/>
      <c r="D529" s="186"/>
      <c r="E529" s="231"/>
    </row>
    <row r="530" spans="1:5" x14ac:dyDescent="0.25">
      <c r="A530" s="193"/>
      <c r="B530" s="229"/>
      <c r="C530" s="186"/>
      <c r="D530" s="186"/>
      <c r="E530" s="231"/>
    </row>
    <row r="531" spans="1:5" x14ac:dyDescent="0.25">
      <c r="A531" s="193"/>
      <c r="B531" s="229"/>
      <c r="C531" s="186"/>
      <c r="D531" s="186"/>
      <c r="E531" s="231"/>
    </row>
    <row r="532" spans="1:5" x14ac:dyDescent="0.25">
      <c r="A532" s="193"/>
      <c r="B532" s="229"/>
      <c r="C532" s="186"/>
      <c r="D532" s="186"/>
      <c r="E532" s="231"/>
    </row>
    <row r="533" spans="1:5" x14ac:dyDescent="0.25">
      <c r="A533" s="193"/>
      <c r="B533" s="229"/>
      <c r="C533" s="186"/>
      <c r="D533" s="186"/>
      <c r="E533" s="231"/>
    </row>
    <row r="534" spans="1:5" x14ac:dyDescent="0.25">
      <c r="A534" s="193"/>
      <c r="B534" s="229"/>
      <c r="C534" s="186"/>
      <c r="D534" s="186"/>
      <c r="E534" s="231"/>
    </row>
    <row r="535" spans="1:5" x14ac:dyDescent="0.25">
      <c r="A535" s="193"/>
      <c r="B535" s="229"/>
      <c r="C535" s="186"/>
      <c r="D535" s="186"/>
      <c r="E535" s="231"/>
    </row>
    <row r="536" spans="1:5" x14ac:dyDescent="0.25">
      <c r="A536" s="193"/>
      <c r="B536" s="229"/>
      <c r="C536" s="186"/>
      <c r="D536" s="186"/>
      <c r="E536" s="231"/>
    </row>
    <row r="537" spans="1:5" x14ac:dyDescent="0.25">
      <c r="A537" s="193"/>
      <c r="B537" s="229"/>
      <c r="C537" s="186"/>
      <c r="D537" s="186"/>
      <c r="E537" s="231"/>
    </row>
    <row r="538" spans="1:5" x14ac:dyDescent="0.25">
      <c r="A538" s="193"/>
      <c r="B538" s="229"/>
      <c r="C538" s="186"/>
      <c r="D538" s="186"/>
      <c r="E538" s="231"/>
    </row>
    <row r="539" spans="1:5" x14ac:dyDescent="0.25">
      <c r="A539" s="193"/>
      <c r="B539" s="229"/>
      <c r="C539" s="186"/>
      <c r="D539" s="186"/>
      <c r="E539" s="231"/>
    </row>
    <row r="540" spans="1:5" x14ac:dyDescent="0.25">
      <c r="A540" s="193"/>
      <c r="B540" s="229"/>
      <c r="C540" s="186"/>
      <c r="D540" s="186"/>
      <c r="E540" s="231"/>
    </row>
    <row r="541" spans="1:5" x14ac:dyDescent="0.25">
      <c r="A541" s="193"/>
      <c r="B541" s="229"/>
      <c r="C541" s="186"/>
      <c r="D541" s="186"/>
      <c r="E541" s="231"/>
    </row>
    <row r="542" spans="1:5" x14ac:dyDescent="0.25">
      <c r="A542" s="193"/>
      <c r="B542" s="229"/>
      <c r="C542" s="186"/>
      <c r="D542" s="186"/>
      <c r="E542" s="231"/>
    </row>
    <row r="543" spans="1:5" x14ac:dyDescent="0.25">
      <c r="A543" s="193"/>
      <c r="B543" s="229"/>
      <c r="C543" s="186"/>
      <c r="D543" s="186"/>
      <c r="E543" s="231"/>
    </row>
    <row r="544" spans="1:5" x14ac:dyDescent="0.25">
      <c r="A544" s="193"/>
      <c r="B544" s="229"/>
      <c r="C544" s="186"/>
      <c r="D544" s="186"/>
      <c r="E544" s="231"/>
    </row>
    <row r="545" spans="1:5" x14ac:dyDescent="0.25">
      <c r="A545" s="193"/>
      <c r="B545" s="229"/>
      <c r="C545" s="186"/>
      <c r="D545" s="186"/>
      <c r="E545" s="231"/>
    </row>
    <row r="546" spans="1:5" x14ac:dyDescent="0.25">
      <c r="A546" s="193"/>
      <c r="B546" s="229"/>
      <c r="C546" s="186"/>
      <c r="D546" s="186"/>
      <c r="E546" s="231"/>
    </row>
    <row r="547" spans="1:5" x14ac:dyDescent="0.25">
      <c r="A547" s="193"/>
      <c r="B547" s="229"/>
      <c r="C547" s="186"/>
      <c r="D547" s="186"/>
      <c r="E547" s="231"/>
    </row>
    <row r="548" spans="1:5" x14ac:dyDescent="0.25">
      <c r="A548" s="193"/>
      <c r="B548" s="229"/>
      <c r="C548" s="186"/>
      <c r="D548" s="186"/>
      <c r="E548" s="231"/>
    </row>
    <row r="549" spans="1:5" x14ac:dyDescent="0.25">
      <c r="A549" s="193"/>
      <c r="B549" s="229"/>
      <c r="C549" s="186"/>
      <c r="D549" s="186"/>
      <c r="E549" s="231"/>
    </row>
    <row r="550" spans="1:5" x14ac:dyDescent="0.25">
      <c r="A550" s="193"/>
      <c r="B550" s="229"/>
      <c r="C550" s="186"/>
      <c r="D550" s="186"/>
      <c r="E550" s="231"/>
    </row>
    <row r="551" spans="1:5" x14ac:dyDescent="0.25">
      <c r="A551" s="193"/>
      <c r="B551" s="229"/>
      <c r="C551" s="186"/>
      <c r="D551" s="186"/>
      <c r="E551" s="231"/>
    </row>
    <row r="552" spans="1:5" x14ac:dyDescent="0.25">
      <c r="A552" s="193"/>
      <c r="B552" s="229"/>
      <c r="C552" s="186"/>
      <c r="D552" s="186"/>
      <c r="E552" s="231"/>
    </row>
    <row r="553" spans="1:5" x14ac:dyDescent="0.25">
      <c r="A553" s="193"/>
      <c r="B553" s="229"/>
      <c r="C553" s="186"/>
      <c r="D553" s="186"/>
      <c r="E553" s="231"/>
    </row>
    <row r="554" spans="1:5" x14ac:dyDescent="0.25">
      <c r="A554" s="193"/>
      <c r="B554" s="229"/>
      <c r="C554" s="186"/>
      <c r="D554" s="186"/>
      <c r="E554" s="231"/>
    </row>
    <row r="555" spans="1:5" x14ac:dyDescent="0.25">
      <c r="A555" s="193"/>
      <c r="B555" s="229"/>
      <c r="C555" s="186"/>
      <c r="D555" s="186"/>
      <c r="E555" s="231"/>
    </row>
    <row r="556" spans="1:5" x14ac:dyDescent="0.25">
      <c r="A556" s="193"/>
      <c r="B556" s="229"/>
      <c r="C556" s="186"/>
      <c r="D556" s="186"/>
      <c r="E556" s="231"/>
    </row>
    <row r="557" spans="1:5" x14ac:dyDescent="0.25">
      <c r="A557" s="193"/>
      <c r="B557" s="229"/>
      <c r="C557" s="186"/>
      <c r="D557" s="186"/>
      <c r="E557" s="231"/>
    </row>
    <row r="558" spans="1:5" x14ac:dyDescent="0.25">
      <c r="A558" s="193"/>
      <c r="B558" s="229"/>
      <c r="C558" s="186"/>
      <c r="D558" s="186"/>
      <c r="E558" s="231"/>
    </row>
    <row r="559" spans="1:5" x14ac:dyDescent="0.25">
      <c r="A559" s="193"/>
      <c r="B559" s="229"/>
      <c r="C559" s="186"/>
      <c r="D559" s="186"/>
      <c r="E559" s="231"/>
    </row>
    <row r="560" spans="1:5" x14ac:dyDescent="0.25">
      <c r="A560" s="193"/>
      <c r="B560" s="229"/>
      <c r="C560" s="186"/>
      <c r="D560" s="186"/>
      <c r="E560" s="231"/>
    </row>
    <row r="561" spans="1:5" x14ac:dyDescent="0.25">
      <c r="A561" s="193"/>
      <c r="B561" s="229"/>
      <c r="C561" s="186"/>
      <c r="D561" s="186"/>
      <c r="E561" s="231"/>
    </row>
    <row r="562" spans="1:5" x14ac:dyDescent="0.25">
      <c r="A562" s="193"/>
      <c r="B562" s="229"/>
      <c r="C562" s="186"/>
      <c r="D562" s="186"/>
      <c r="E562" s="231"/>
    </row>
    <row r="563" spans="1:5" x14ac:dyDescent="0.25">
      <c r="A563" s="193"/>
      <c r="B563" s="229"/>
      <c r="C563" s="186"/>
      <c r="D563" s="186"/>
      <c r="E563" s="231"/>
    </row>
    <row r="564" spans="1:5" x14ac:dyDescent="0.25">
      <c r="A564" s="193"/>
      <c r="B564" s="229"/>
      <c r="C564" s="186"/>
      <c r="D564" s="186"/>
      <c r="E564" s="231"/>
    </row>
    <row r="565" spans="1:5" x14ac:dyDescent="0.25">
      <c r="A565" s="193"/>
      <c r="B565" s="229"/>
      <c r="C565" s="186"/>
      <c r="D565" s="186"/>
      <c r="E565" s="231"/>
    </row>
    <row r="566" spans="1:5" x14ac:dyDescent="0.25">
      <c r="A566" s="193"/>
      <c r="B566" s="229"/>
      <c r="C566" s="186"/>
      <c r="D566" s="186"/>
      <c r="E566" s="231"/>
    </row>
    <row r="567" spans="1:5" x14ac:dyDescent="0.25">
      <c r="A567" s="193"/>
      <c r="B567" s="229"/>
      <c r="C567" s="186"/>
      <c r="D567" s="186"/>
      <c r="E567" s="231"/>
    </row>
    <row r="568" spans="1:5" x14ac:dyDescent="0.25">
      <c r="A568" s="193"/>
      <c r="B568" s="229"/>
      <c r="C568" s="186"/>
      <c r="D568" s="186"/>
      <c r="E568" s="231"/>
    </row>
    <row r="569" spans="1:5" x14ac:dyDescent="0.25">
      <c r="A569" s="193"/>
      <c r="B569" s="229"/>
      <c r="C569" s="186"/>
      <c r="D569" s="186"/>
      <c r="E569" s="231"/>
    </row>
    <row r="570" spans="1:5" x14ac:dyDescent="0.25">
      <c r="A570" s="193"/>
      <c r="B570" s="229"/>
      <c r="C570" s="186"/>
      <c r="D570" s="186"/>
      <c r="E570" s="231"/>
    </row>
    <row r="571" spans="1:5" x14ac:dyDescent="0.25">
      <c r="A571" s="193"/>
      <c r="B571" s="229"/>
      <c r="C571" s="186"/>
      <c r="D571" s="186"/>
      <c r="E571" s="231"/>
    </row>
    <row r="572" spans="1:5" x14ac:dyDescent="0.25">
      <c r="A572" s="193"/>
      <c r="B572" s="229"/>
      <c r="C572" s="186"/>
      <c r="D572" s="186"/>
      <c r="E572" s="231"/>
    </row>
    <row r="573" spans="1:5" x14ac:dyDescent="0.25">
      <c r="A573" s="193"/>
      <c r="B573" s="229"/>
      <c r="C573" s="186"/>
      <c r="D573" s="186"/>
      <c r="E573" s="231"/>
    </row>
    <row r="574" spans="1:5" x14ac:dyDescent="0.25">
      <c r="A574" s="193"/>
      <c r="B574" s="229"/>
      <c r="C574" s="186"/>
      <c r="D574" s="186"/>
      <c r="E574" s="231"/>
    </row>
    <row r="575" spans="1:5" x14ac:dyDescent="0.25">
      <c r="A575" s="193"/>
      <c r="B575" s="229"/>
      <c r="C575" s="186"/>
      <c r="D575" s="186"/>
      <c r="E575" s="231"/>
    </row>
    <row r="576" spans="1:5" x14ac:dyDescent="0.25">
      <c r="A576" s="193"/>
      <c r="B576" s="229"/>
      <c r="C576" s="186"/>
      <c r="D576" s="186"/>
      <c r="E576" s="231"/>
    </row>
    <row r="577" spans="1:5" x14ac:dyDescent="0.25">
      <c r="A577" s="193"/>
      <c r="B577" s="229"/>
      <c r="C577" s="186"/>
      <c r="D577" s="186"/>
      <c r="E577" s="231"/>
    </row>
    <row r="578" spans="1:5" x14ac:dyDescent="0.25">
      <c r="A578" s="193"/>
      <c r="B578" s="229"/>
      <c r="C578" s="186"/>
      <c r="D578" s="186"/>
      <c r="E578" s="231"/>
    </row>
    <row r="579" spans="1:5" x14ac:dyDescent="0.25">
      <c r="A579" s="193"/>
      <c r="B579" s="229"/>
      <c r="C579" s="186"/>
      <c r="D579" s="186"/>
      <c r="E579" s="231"/>
    </row>
    <row r="580" spans="1:5" x14ac:dyDescent="0.25">
      <c r="A580" s="193"/>
      <c r="B580" s="229"/>
      <c r="C580" s="186"/>
      <c r="D580" s="186"/>
      <c r="E580" s="231"/>
    </row>
    <row r="581" spans="1:5" x14ac:dyDescent="0.25">
      <c r="A581" s="193"/>
      <c r="B581" s="229"/>
      <c r="C581" s="186"/>
      <c r="D581" s="186"/>
      <c r="E581" s="231"/>
    </row>
    <row r="582" spans="1:5" x14ac:dyDescent="0.25">
      <c r="A582" s="193"/>
      <c r="B582" s="229"/>
      <c r="C582" s="186"/>
      <c r="D582" s="186"/>
      <c r="E582" s="231"/>
    </row>
    <row r="583" spans="1:5" x14ac:dyDescent="0.25">
      <c r="A583" s="193"/>
      <c r="B583" s="229"/>
      <c r="C583" s="186"/>
      <c r="D583" s="186"/>
      <c r="E583" s="231"/>
    </row>
    <row r="584" spans="1:5" x14ac:dyDescent="0.25">
      <c r="A584" s="193"/>
      <c r="B584" s="229"/>
      <c r="C584" s="186"/>
      <c r="D584" s="186"/>
      <c r="E584" s="231"/>
    </row>
    <row r="585" spans="1:5" x14ac:dyDescent="0.25">
      <c r="A585" s="193"/>
      <c r="B585" s="229"/>
      <c r="C585" s="186"/>
      <c r="D585" s="186"/>
      <c r="E585" s="231"/>
    </row>
    <row r="586" spans="1:5" x14ac:dyDescent="0.25">
      <c r="A586" s="193"/>
      <c r="B586" s="229"/>
      <c r="C586" s="186"/>
      <c r="D586" s="186"/>
      <c r="E586" s="231"/>
    </row>
    <row r="587" spans="1:5" x14ac:dyDescent="0.25">
      <c r="A587" s="193"/>
      <c r="B587" s="229"/>
      <c r="C587" s="186"/>
      <c r="D587" s="186"/>
      <c r="E587" s="231"/>
    </row>
    <row r="588" spans="1:5" x14ac:dyDescent="0.25">
      <c r="A588" s="193"/>
      <c r="B588" s="229"/>
      <c r="C588" s="186"/>
      <c r="D588" s="186"/>
      <c r="E588" s="231"/>
    </row>
    <row r="589" spans="1:5" x14ac:dyDescent="0.25">
      <c r="A589" s="193"/>
      <c r="B589" s="229"/>
      <c r="C589" s="186"/>
      <c r="D589" s="186"/>
      <c r="E589" s="231"/>
    </row>
    <row r="590" spans="1:5" x14ac:dyDescent="0.25">
      <c r="A590" s="193"/>
      <c r="B590" s="229"/>
      <c r="C590" s="186"/>
      <c r="D590" s="186"/>
      <c r="E590" s="231"/>
    </row>
    <row r="591" spans="1:5" x14ac:dyDescent="0.25">
      <c r="A591" s="193"/>
      <c r="B591" s="229"/>
      <c r="C591" s="186"/>
      <c r="D591" s="186"/>
      <c r="E591" s="231"/>
    </row>
    <row r="592" spans="1:5" x14ac:dyDescent="0.25">
      <c r="B592" s="229"/>
      <c r="C592" s="186"/>
      <c r="D592" s="186"/>
      <c r="E592" s="231"/>
    </row>
  </sheetData>
  <mergeCells count="5">
    <mergeCell ref="B19:E19"/>
    <mergeCell ref="B25:E25"/>
    <mergeCell ref="B43:E43"/>
    <mergeCell ref="B11:E11"/>
    <mergeCell ref="B12:E12"/>
  </mergeCells>
  <printOptions horizontalCentered="1" gridLines="1"/>
  <pageMargins left="0.25" right="0.25" top="0.25" bottom="0.6" header="0.5" footer="0.25"/>
  <pageSetup scale="80" orientation="landscape" cellComments="asDisplayed" horizontalDpi="96" verticalDpi="96" r:id="rId1"/>
  <headerFooter alignWithMargins="0">
    <oddFooter>&amp;L&amp;10Reserves Seminars
&amp;C&amp;10Confidential and exclusive property of PolySystems, Inc.
&amp;R&amp;10&amp;F
&amp;A</oddFooter>
  </headerFooter>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333A0D-BF07-4328-8E95-D97DEC2BE16E}">
  <dimension ref="A1:G590"/>
  <sheetViews>
    <sheetView showGridLines="0" zoomScaleNormal="100" zoomScaleSheetLayoutView="100" workbookViewId="0">
      <selection activeCell="H13" sqref="H13"/>
    </sheetView>
  </sheetViews>
  <sheetFormatPr defaultColWidth="10" defaultRowHeight="15" x14ac:dyDescent="0.25"/>
  <cols>
    <col min="1" max="1" width="4" style="183" customWidth="1"/>
    <col min="2" max="2" width="35.42578125" style="22" customWidth="1"/>
    <col min="3" max="3" width="15.5703125" style="22" customWidth="1"/>
    <col min="4" max="4" width="14.5703125" style="22" customWidth="1"/>
    <col min="5" max="5" width="15.140625" style="22" customWidth="1"/>
    <col min="6" max="6" width="13.42578125" style="75" customWidth="1"/>
    <col min="7" max="16384" width="10" style="183"/>
  </cols>
  <sheetData>
    <row r="1" spans="1:7" x14ac:dyDescent="0.25">
      <c r="A1" s="76" t="s">
        <v>368</v>
      </c>
    </row>
    <row r="2" spans="1:7" x14ac:dyDescent="0.25">
      <c r="A2" s="45" t="s">
        <v>369</v>
      </c>
    </row>
    <row r="3" spans="1:7" x14ac:dyDescent="0.25">
      <c r="A3" s="78" t="s">
        <v>370</v>
      </c>
    </row>
    <row r="4" spans="1:7" x14ac:dyDescent="0.25">
      <c r="A4" s="79" t="s">
        <v>379</v>
      </c>
    </row>
    <row r="6" spans="1:7" s="75" customFormat="1" x14ac:dyDescent="0.25">
      <c r="A6" s="1" t="s">
        <v>280</v>
      </c>
    </row>
    <row r="7" spans="1:7" s="75" customFormat="1" x14ac:dyDescent="0.25">
      <c r="A7" s="1" t="s">
        <v>132</v>
      </c>
    </row>
    <row r="8" spans="1:7" s="75" customFormat="1" x14ac:dyDescent="0.25">
      <c r="A8" s="1" t="s">
        <v>133</v>
      </c>
    </row>
    <row r="9" spans="1:7" x14ac:dyDescent="0.25">
      <c r="B9" s="183"/>
      <c r="C9" s="183"/>
      <c r="D9" s="183"/>
      <c r="E9" s="183"/>
    </row>
    <row r="10" spans="1:7" s="184" customFormat="1" x14ac:dyDescent="0.25">
      <c r="B10" s="185"/>
      <c r="C10" s="186"/>
      <c r="F10" s="75"/>
      <c r="G10" s="234"/>
    </row>
    <row r="11" spans="1:7" ht="15.75" thickBot="1" x14ac:dyDescent="0.3">
      <c r="B11" s="449" t="s">
        <v>348</v>
      </c>
      <c r="C11" s="449"/>
      <c r="D11" s="449"/>
      <c r="E11" s="449"/>
    </row>
    <row r="12" spans="1:7" s="192" customFormat="1" ht="15.75" thickBot="1" x14ac:dyDescent="0.3">
      <c r="A12" s="187"/>
      <c r="B12" s="437" t="s">
        <v>349</v>
      </c>
      <c r="C12" s="438"/>
      <c r="D12" s="438"/>
      <c r="E12" s="439"/>
      <c r="F12" s="75"/>
    </row>
    <row r="13" spans="1:7" s="192" customFormat="1" x14ac:dyDescent="0.25">
      <c r="A13" s="187"/>
      <c r="B13" s="198" t="s">
        <v>350</v>
      </c>
      <c r="C13" s="202">
        <f>'Tables 26a,b-MasterInputs'!I19*100</f>
        <v>5.7517450058914221</v>
      </c>
      <c r="D13" s="192" t="s">
        <v>144</v>
      </c>
      <c r="E13" s="203"/>
      <c r="F13" s="75"/>
    </row>
    <row r="14" spans="1:7" s="192" customFormat="1" x14ac:dyDescent="0.25">
      <c r="A14" s="187"/>
      <c r="B14" s="198" t="s">
        <v>351</v>
      </c>
      <c r="C14" s="201">
        <f>'Tables 26a,b-MasterInputs'!I21*100</f>
        <v>100</v>
      </c>
      <c r="D14" s="192" t="s">
        <v>144</v>
      </c>
      <c r="E14" s="203"/>
      <c r="F14" s="75"/>
    </row>
    <row r="15" spans="1:7" s="192" customFormat="1" x14ac:dyDescent="0.25">
      <c r="A15" s="187"/>
      <c r="B15" s="198" t="s">
        <v>380</v>
      </c>
      <c r="C15" s="235">
        <v>1</v>
      </c>
      <c r="D15" s="236" t="s">
        <v>352</v>
      </c>
      <c r="E15" s="237"/>
      <c r="F15" s="75"/>
    </row>
    <row r="16" spans="1:7" ht="15.75" thickBot="1" x14ac:dyDescent="0.3">
      <c r="B16" s="223" t="s">
        <v>150</v>
      </c>
      <c r="C16" s="238">
        <v>1000</v>
      </c>
      <c r="D16" s="183"/>
      <c r="E16" s="239"/>
    </row>
    <row r="17" spans="1:6" ht="15.75" thickBot="1" x14ac:dyDescent="0.3">
      <c r="B17" s="188"/>
      <c r="C17" s="240"/>
      <c r="D17" s="240"/>
      <c r="E17" s="241"/>
    </row>
    <row r="18" spans="1:6" s="192" customFormat="1" ht="30.75" thickBot="1" x14ac:dyDescent="0.3">
      <c r="A18" s="187"/>
      <c r="B18" s="198"/>
      <c r="C18" s="199"/>
      <c r="D18" s="242" t="s">
        <v>353</v>
      </c>
      <c r="E18" s="243" t="s">
        <v>354</v>
      </c>
      <c r="F18" s="75"/>
    </row>
    <row r="19" spans="1:6" s="192" customFormat="1" ht="15.75" thickBot="1" x14ac:dyDescent="0.3">
      <c r="A19" s="187"/>
      <c r="B19" s="188" t="s">
        <v>135</v>
      </c>
      <c r="C19" s="189"/>
      <c r="D19" s="244"/>
      <c r="E19" s="245"/>
      <c r="F19" s="75"/>
    </row>
    <row r="20" spans="1:6" x14ac:dyDescent="0.25">
      <c r="A20" s="193"/>
      <c r="B20" s="194" t="s">
        <v>381</v>
      </c>
      <c r="C20" s="195"/>
      <c r="D20" s="246">
        <f>'Tables 26a,b-MasterInputs'!I14</f>
        <v>0.05</v>
      </c>
      <c r="E20" s="247">
        <f>D20</f>
        <v>0.05</v>
      </c>
    </row>
    <row r="21" spans="1:6" x14ac:dyDescent="0.25">
      <c r="A21" s="193"/>
      <c r="B21" s="198" t="s">
        <v>382</v>
      </c>
      <c r="C21" s="199"/>
      <c r="D21" s="248">
        <f>'Tables 26a,b-MasterInputs'!I15</f>
        <v>0.2</v>
      </c>
      <c r="E21" s="249">
        <f>D21</f>
        <v>0.2</v>
      </c>
    </row>
    <row r="22" spans="1:6" x14ac:dyDescent="0.25">
      <c r="A22" s="193"/>
      <c r="B22" s="198" t="s">
        <v>383</v>
      </c>
      <c r="C22" s="199"/>
      <c r="D22" s="248">
        <f>'Tables 26a,b-MasterInputs'!I16</f>
        <v>1.2500000000000001E-2</v>
      </c>
      <c r="E22" s="249">
        <f>D22</f>
        <v>1.2500000000000001E-2</v>
      </c>
    </row>
    <row r="23" spans="1:6" x14ac:dyDescent="0.25">
      <c r="A23" s="193"/>
      <c r="B23" s="198" t="s">
        <v>355</v>
      </c>
      <c r="C23" s="199"/>
      <c r="D23" s="250">
        <f>'Tables 26a,b-MasterInputs'!I17</f>
        <v>1000</v>
      </c>
      <c r="E23" s="251">
        <f>D23</f>
        <v>1000</v>
      </c>
    </row>
    <row r="24" spans="1:6" x14ac:dyDescent="0.25">
      <c r="A24" s="193"/>
      <c r="B24" s="198" t="s">
        <v>356</v>
      </c>
      <c r="C24" s="199"/>
      <c r="D24" s="252">
        <f>D23</f>
        <v>1000</v>
      </c>
      <c r="E24" s="251">
        <f>(1+C13/C14)*D23</f>
        <v>1057.5174500589142</v>
      </c>
    </row>
    <row r="25" spans="1:6" ht="15.75" thickBot="1" x14ac:dyDescent="0.3">
      <c r="A25" s="193"/>
      <c r="B25" s="198"/>
      <c r="C25" s="199"/>
      <c r="D25" s="253"/>
      <c r="E25" s="254"/>
    </row>
    <row r="26" spans="1:6" ht="15.75" thickBot="1" x14ac:dyDescent="0.3">
      <c r="A26" s="193"/>
      <c r="B26" s="255" t="s">
        <v>357</v>
      </c>
      <c r="C26" s="256"/>
      <c r="D26" s="255"/>
      <c r="E26" s="257"/>
    </row>
    <row r="27" spans="1:6" hidden="1" x14ac:dyDescent="0.25">
      <c r="A27" s="193"/>
      <c r="B27" s="214" t="s">
        <v>151</v>
      </c>
      <c r="D27" s="258">
        <f>LN(D23/D24)</f>
        <v>0</v>
      </c>
      <c r="E27" s="259">
        <f>LN(D23/E24)</f>
        <v>-5.5924133039895935E-2</v>
      </c>
    </row>
    <row r="28" spans="1:6" hidden="1" x14ac:dyDescent="0.25">
      <c r="A28" s="193"/>
      <c r="B28" s="214" t="s">
        <v>152</v>
      </c>
      <c r="D28" s="258">
        <f>C15*(D20-D22+0.5*(D21^2))</f>
        <v>5.7500000000000009E-2</v>
      </c>
      <c r="E28" s="259">
        <f>C15*(E20-E22+0.5*(E21^2))</f>
        <v>5.7500000000000009E-2</v>
      </c>
    </row>
    <row r="29" spans="1:6" hidden="1" x14ac:dyDescent="0.25">
      <c r="A29" s="193"/>
      <c r="B29" s="214" t="s">
        <v>153</v>
      </c>
      <c r="D29" s="258">
        <f>D21*(C15^(1/2))</f>
        <v>0.2</v>
      </c>
      <c r="E29" s="259">
        <f>E21*(C15^(1/2))</f>
        <v>0.2</v>
      </c>
    </row>
    <row r="30" spans="1:6" ht="17.25" x14ac:dyDescent="0.25">
      <c r="A30" s="193"/>
      <c r="B30" s="214" t="s">
        <v>384</v>
      </c>
      <c r="D30" s="258">
        <f>(D27+D28)/D29</f>
        <v>0.28750000000000003</v>
      </c>
      <c r="E30" s="259">
        <f>(E27+E28)/E29</f>
        <v>7.8793348005203739E-3</v>
      </c>
    </row>
    <row r="31" spans="1:6" x14ac:dyDescent="0.25">
      <c r="A31" s="193"/>
      <c r="B31" s="214" t="s">
        <v>385</v>
      </c>
      <c r="D31" s="258">
        <f>D30-D29</f>
        <v>8.7500000000000022E-2</v>
      </c>
      <c r="E31" s="259">
        <f>E30-E29</f>
        <v>-0.19212066519947962</v>
      </c>
    </row>
    <row r="32" spans="1:6" hidden="1" x14ac:dyDescent="0.25">
      <c r="A32" s="193"/>
      <c r="B32" s="214" t="s">
        <v>358</v>
      </c>
      <c r="D32" s="258">
        <f>NORMSDIST(D30)</f>
        <v>0.61313524903127314</v>
      </c>
      <c r="E32" s="259">
        <f>NORMSDIST(E30)</f>
        <v>0.50314336726790687</v>
      </c>
    </row>
    <row r="33" spans="1:5" hidden="1" x14ac:dyDescent="0.25">
      <c r="A33" s="193"/>
      <c r="B33" s="214" t="s">
        <v>157</v>
      </c>
      <c r="D33" s="258">
        <f>NORMSDIST(D31)</f>
        <v>0.53486295728371536</v>
      </c>
      <c r="E33" s="259">
        <f>NORMSDIST(E31)</f>
        <v>0.42382384397089345</v>
      </c>
    </row>
    <row r="34" spans="1:5" ht="17.25" hidden="1" x14ac:dyDescent="0.25">
      <c r="A34" s="193"/>
      <c r="B34" s="260" t="s">
        <v>386</v>
      </c>
      <c r="D34" s="261">
        <f>D23*(EXP(-D22*C15))*D32</f>
        <v>605.51876064357305</v>
      </c>
      <c r="E34" s="262">
        <f>D23*(EXP(-E22*C15))*E32</f>
        <v>496.89321997952464</v>
      </c>
    </row>
    <row r="35" spans="1:5" ht="17.25" hidden="1" x14ac:dyDescent="0.25">
      <c r="A35" s="193"/>
      <c r="B35" s="260" t="s">
        <v>387</v>
      </c>
      <c r="D35" s="261">
        <f>D24*(EXP(-D20*C15))*D33</f>
        <v>508.77738304373855</v>
      </c>
      <c r="E35" s="262">
        <f>E24*(EXP(-E20*C15))*E33</f>
        <v>426.34208463955662</v>
      </c>
    </row>
    <row r="36" spans="1:5" s="75" customFormat="1" ht="18" thickBot="1" x14ac:dyDescent="0.3">
      <c r="A36" s="193"/>
      <c r="B36" s="214" t="s">
        <v>388</v>
      </c>
      <c r="C36" s="22"/>
      <c r="D36" s="214">
        <f>D34-D35</f>
        <v>96.741377599834493</v>
      </c>
      <c r="E36" s="263">
        <f>E34-E35</f>
        <v>70.551135339968027</v>
      </c>
    </row>
    <row r="37" spans="1:5" s="75" customFormat="1" x14ac:dyDescent="0.25">
      <c r="A37" s="193"/>
      <c r="B37" s="264"/>
      <c r="C37" s="265"/>
      <c r="D37" s="101"/>
      <c r="E37" s="266"/>
    </row>
    <row r="38" spans="1:5" s="75" customFormat="1" x14ac:dyDescent="0.25">
      <c r="A38" s="193"/>
      <c r="B38" s="214" t="s">
        <v>359</v>
      </c>
      <c r="C38" s="220"/>
      <c r="D38" s="220">
        <f>D36-E36</f>
        <v>26.190242259866466</v>
      </c>
      <c r="E38" s="219"/>
    </row>
    <row r="39" spans="1:5" s="75" customFormat="1" ht="17.25" x14ac:dyDescent="0.25">
      <c r="A39" s="193"/>
      <c r="B39" s="214" t="s">
        <v>389</v>
      </c>
      <c r="C39" s="220"/>
      <c r="D39" s="220">
        <f>D38*(1+D20)^C15</f>
        <v>27.49975437285979</v>
      </c>
      <c r="E39" s="219"/>
    </row>
    <row r="40" spans="1:5" s="75" customFormat="1" ht="15.75" thickBot="1" x14ac:dyDescent="0.3">
      <c r="A40" s="193"/>
      <c r="B40" s="214"/>
      <c r="C40" s="22"/>
      <c r="D40" s="22"/>
      <c r="E40" s="219"/>
    </row>
    <row r="41" spans="1:5" s="75" customFormat="1" ht="15.75" thickBot="1" x14ac:dyDescent="0.3">
      <c r="A41" s="193"/>
      <c r="B41" s="440" t="s">
        <v>360</v>
      </c>
      <c r="C41" s="441"/>
      <c r="D41" s="441"/>
      <c r="E41" s="442"/>
    </row>
    <row r="42" spans="1:5" s="75" customFormat="1" x14ac:dyDescent="0.25">
      <c r="A42" s="193"/>
      <c r="B42" s="198" t="s">
        <v>164</v>
      </c>
      <c r="C42" s="199"/>
      <c r="D42" s="267">
        <f>D38/C16*100</f>
        <v>2.6190242259866463</v>
      </c>
      <c r="E42" s="222" t="s">
        <v>144</v>
      </c>
    </row>
    <row r="43" spans="1:5" s="75" customFormat="1" ht="15.75" thickBot="1" x14ac:dyDescent="0.3">
      <c r="A43" s="193"/>
      <c r="B43" s="223" t="s">
        <v>165</v>
      </c>
      <c r="C43" s="224"/>
      <c r="D43" s="268">
        <f>D42*(1+D20)</f>
        <v>2.7499754372859786</v>
      </c>
      <c r="E43" s="226" t="s">
        <v>144</v>
      </c>
    </row>
    <row r="44" spans="1:5" s="75" customFormat="1" x14ac:dyDescent="0.25">
      <c r="A44" s="193"/>
      <c r="B44" s="183"/>
      <c r="C44" s="183"/>
      <c r="D44" s="183"/>
      <c r="E44" s="227"/>
    </row>
    <row r="45" spans="1:5" s="75" customFormat="1" x14ac:dyDescent="0.25">
      <c r="A45" s="193"/>
      <c r="B45" s="183" t="s">
        <v>361</v>
      </c>
      <c r="C45" s="183"/>
      <c r="D45" s="183"/>
      <c r="E45" s="228"/>
    </row>
    <row r="46" spans="1:5" s="75" customFormat="1" x14ac:dyDescent="0.25">
      <c r="A46" s="193"/>
      <c r="B46" s="229"/>
      <c r="C46" s="186"/>
      <c r="D46" s="230"/>
      <c r="E46" s="231"/>
    </row>
    <row r="47" spans="1:5" s="75" customFormat="1" x14ac:dyDescent="0.25">
      <c r="A47" s="193"/>
      <c r="B47" s="229"/>
      <c r="C47" s="186"/>
      <c r="D47" s="230"/>
      <c r="E47" s="231"/>
    </row>
    <row r="48" spans="1:5" s="75" customFormat="1" x14ac:dyDescent="0.25">
      <c r="A48" s="193"/>
      <c r="B48" s="229"/>
      <c r="C48" s="186"/>
      <c r="D48" s="232"/>
      <c r="E48" s="231"/>
    </row>
    <row r="49" spans="1:5" s="75" customFormat="1" x14ac:dyDescent="0.25">
      <c r="A49" s="193"/>
      <c r="B49" s="229"/>
      <c r="C49" s="186"/>
      <c r="D49" s="233"/>
      <c r="E49" s="231"/>
    </row>
    <row r="50" spans="1:5" s="75" customFormat="1" x14ac:dyDescent="0.25">
      <c r="A50" s="193"/>
      <c r="B50" s="229"/>
      <c r="C50" s="186"/>
      <c r="D50" s="186"/>
      <c r="E50" s="231"/>
    </row>
    <row r="51" spans="1:5" s="75" customFormat="1" x14ac:dyDescent="0.25">
      <c r="A51" s="193"/>
      <c r="B51" s="229"/>
      <c r="C51" s="186"/>
      <c r="D51" s="186"/>
      <c r="E51" s="231"/>
    </row>
    <row r="52" spans="1:5" s="75" customFormat="1" x14ac:dyDescent="0.25">
      <c r="A52" s="193"/>
      <c r="B52" s="229"/>
      <c r="C52" s="186"/>
      <c r="D52" s="186"/>
      <c r="E52" s="231"/>
    </row>
    <row r="53" spans="1:5" s="75" customFormat="1" x14ac:dyDescent="0.25">
      <c r="A53" s="193"/>
      <c r="B53" s="229"/>
      <c r="C53" s="186"/>
      <c r="D53" s="186"/>
      <c r="E53" s="231"/>
    </row>
    <row r="54" spans="1:5" s="75" customFormat="1" x14ac:dyDescent="0.25">
      <c r="A54" s="193"/>
      <c r="B54" s="229"/>
      <c r="C54" s="186"/>
      <c r="D54" s="186"/>
      <c r="E54" s="231"/>
    </row>
    <row r="55" spans="1:5" s="75" customFormat="1" x14ac:dyDescent="0.25">
      <c r="A55" s="193"/>
      <c r="B55" s="229"/>
      <c r="C55" s="186"/>
      <c r="D55" s="186"/>
      <c r="E55" s="231"/>
    </row>
    <row r="56" spans="1:5" s="75" customFormat="1" x14ac:dyDescent="0.25">
      <c r="A56" s="193"/>
      <c r="B56" s="229"/>
      <c r="C56" s="186"/>
      <c r="D56" s="186"/>
      <c r="E56" s="231"/>
    </row>
    <row r="57" spans="1:5" s="75" customFormat="1" x14ac:dyDescent="0.25">
      <c r="A57" s="193"/>
      <c r="B57" s="229"/>
      <c r="C57" s="186"/>
      <c r="D57" s="186"/>
      <c r="E57" s="231"/>
    </row>
    <row r="58" spans="1:5" s="75" customFormat="1" x14ac:dyDescent="0.25">
      <c r="A58" s="193"/>
      <c r="B58" s="229"/>
      <c r="C58" s="186"/>
      <c r="D58" s="186"/>
      <c r="E58" s="231"/>
    </row>
    <row r="59" spans="1:5" s="75" customFormat="1" x14ac:dyDescent="0.25">
      <c r="A59" s="193"/>
      <c r="B59" s="229"/>
      <c r="C59" s="186"/>
      <c r="D59" s="186"/>
      <c r="E59" s="231"/>
    </row>
    <row r="60" spans="1:5" s="75" customFormat="1" x14ac:dyDescent="0.25">
      <c r="A60" s="193"/>
      <c r="B60" s="229"/>
      <c r="C60" s="186"/>
      <c r="D60" s="186"/>
      <c r="E60" s="231"/>
    </row>
    <row r="61" spans="1:5" s="75" customFormat="1" x14ac:dyDescent="0.25">
      <c r="A61" s="193"/>
      <c r="B61" s="229"/>
      <c r="C61" s="186"/>
      <c r="D61" s="186"/>
      <c r="E61" s="231"/>
    </row>
    <row r="62" spans="1:5" s="75" customFormat="1" x14ac:dyDescent="0.25">
      <c r="A62" s="193"/>
      <c r="B62" s="229"/>
      <c r="C62" s="186"/>
      <c r="D62" s="186"/>
      <c r="E62" s="231"/>
    </row>
    <row r="63" spans="1:5" s="75" customFormat="1" x14ac:dyDescent="0.25">
      <c r="A63" s="193"/>
      <c r="B63" s="229"/>
      <c r="C63" s="186"/>
      <c r="D63" s="186"/>
      <c r="E63" s="231"/>
    </row>
    <row r="64" spans="1:5" s="75" customFormat="1" x14ac:dyDescent="0.25">
      <c r="A64" s="193"/>
      <c r="B64" s="229"/>
      <c r="C64" s="186"/>
      <c r="D64" s="186"/>
      <c r="E64" s="231"/>
    </row>
    <row r="65" spans="1:5" s="75" customFormat="1" x14ac:dyDescent="0.25">
      <c r="A65" s="193"/>
      <c r="B65" s="229"/>
      <c r="C65" s="186"/>
      <c r="D65" s="186"/>
      <c r="E65" s="231"/>
    </row>
    <row r="66" spans="1:5" s="75" customFormat="1" x14ac:dyDescent="0.25">
      <c r="A66" s="193"/>
      <c r="B66" s="229"/>
      <c r="C66" s="186"/>
      <c r="D66" s="186"/>
      <c r="E66" s="231"/>
    </row>
    <row r="67" spans="1:5" s="75" customFormat="1" x14ac:dyDescent="0.25">
      <c r="A67" s="193"/>
      <c r="B67" s="229"/>
      <c r="C67" s="186"/>
      <c r="D67" s="186"/>
      <c r="E67" s="231"/>
    </row>
    <row r="68" spans="1:5" s="75" customFormat="1" x14ac:dyDescent="0.25">
      <c r="A68" s="193"/>
      <c r="B68" s="229"/>
      <c r="C68" s="186"/>
      <c r="D68" s="186"/>
      <c r="E68" s="231"/>
    </row>
    <row r="69" spans="1:5" s="75" customFormat="1" x14ac:dyDescent="0.25">
      <c r="A69" s="193"/>
      <c r="B69" s="229"/>
      <c r="C69" s="186"/>
      <c r="D69" s="186"/>
      <c r="E69" s="231"/>
    </row>
    <row r="70" spans="1:5" s="75" customFormat="1" x14ac:dyDescent="0.25">
      <c r="A70" s="193"/>
      <c r="B70" s="229"/>
      <c r="C70" s="186"/>
      <c r="D70" s="186"/>
      <c r="E70" s="231"/>
    </row>
    <row r="71" spans="1:5" s="75" customFormat="1" x14ac:dyDescent="0.25">
      <c r="A71" s="193"/>
      <c r="B71" s="229"/>
      <c r="C71" s="186"/>
      <c r="D71" s="186"/>
      <c r="E71" s="231"/>
    </row>
    <row r="72" spans="1:5" s="75" customFormat="1" x14ac:dyDescent="0.25">
      <c r="A72" s="193"/>
      <c r="B72" s="229"/>
      <c r="C72" s="186"/>
      <c r="D72" s="186"/>
      <c r="E72" s="231"/>
    </row>
    <row r="73" spans="1:5" s="75" customFormat="1" x14ac:dyDescent="0.25">
      <c r="A73" s="193"/>
      <c r="B73" s="229"/>
      <c r="C73" s="186"/>
      <c r="D73" s="186"/>
      <c r="E73" s="231"/>
    </row>
    <row r="74" spans="1:5" s="75" customFormat="1" x14ac:dyDescent="0.25">
      <c r="A74" s="193"/>
      <c r="B74" s="229"/>
      <c r="C74" s="186"/>
      <c r="D74" s="186"/>
      <c r="E74" s="231"/>
    </row>
    <row r="75" spans="1:5" s="75" customFormat="1" x14ac:dyDescent="0.25">
      <c r="A75" s="193"/>
      <c r="B75" s="229"/>
      <c r="C75" s="186"/>
      <c r="D75" s="186"/>
      <c r="E75" s="231"/>
    </row>
    <row r="76" spans="1:5" s="75" customFormat="1" x14ac:dyDescent="0.25">
      <c r="A76" s="193"/>
      <c r="B76" s="229"/>
      <c r="C76" s="186"/>
      <c r="D76" s="186"/>
      <c r="E76" s="231"/>
    </row>
    <row r="77" spans="1:5" s="75" customFormat="1" x14ac:dyDescent="0.25">
      <c r="A77" s="193"/>
      <c r="B77" s="229"/>
      <c r="C77" s="186"/>
      <c r="D77" s="186"/>
      <c r="E77" s="231"/>
    </row>
    <row r="78" spans="1:5" s="75" customFormat="1" x14ac:dyDescent="0.25">
      <c r="A78" s="193"/>
      <c r="B78" s="229"/>
      <c r="C78" s="186"/>
      <c r="D78" s="186"/>
      <c r="E78" s="231"/>
    </row>
    <row r="79" spans="1:5" s="75" customFormat="1" x14ac:dyDescent="0.25">
      <c r="A79" s="193"/>
      <c r="B79" s="229"/>
      <c r="C79" s="186"/>
      <c r="D79" s="186"/>
      <c r="E79" s="231"/>
    </row>
    <row r="80" spans="1:5" s="75" customFormat="1" x14ac:dyDescent="0.25">
      <c r="A80" s="193"/>
      <c r="B80" s="229"/>
      <c r="C80" s="186"/>
      <c r="D80" s="186"/>
      <c r="E80" s="231"/>
    </row>
    <row r="81" spans="1:5" s="75" customFormat="1" x14ac:dyDescent="0.25">
      <c r="A81" s="193"/>
      <c r="B81" s="229"/>
      <c r="C81" s="186"/>
      <c r="D81" s="186"/>
      <c r="E81" s="231"/>
    </row>
    <row r="82" spans="1:5" s="75" customFormat="1" x14ac:dyDescent="0.25">
      <c r="A82" s="193"/>
      <c r="B82" s="229"/>
      <c r="C82" s="186"/>
      <c r="D82" s="186"/>
      <c r="E82" s="231"/>
    </row>
    <row r="83" spans="1:5" s="75" customFormat="1" x14ac:dyDescent="0.25">
      <c r="A83" s="193"/>
      <c r="B83" s="229"/>
      <c r="C83" s="186"/>
      <c r="D83" s="186"/>
      <c r="E83" s="231"/>
    </row>
    <row r="84" spans="1:5" s="75" customFormat="1" x14ac:dyDescent="0.25">
      <c r="A84" s="193"/>
      <c r="B84" s="229"/>
      <c r="C84" s="186"/>
      <c r="D84" s="186"/>
      <c r="E84" s="231"/>
    </row>
    <row r="85" spans="1:5" s="75" customFormat="1" x14ac:dyDescent="0.25">
      <c r="A85" s="193"/>
      <c r="B85" s="229"/>
      <c r="C85" s="186"/>
      <c r="D85" s="186"/>
      <c r="E85" s="231"/>
    </row>
    <row r="86" spans="1:5" s="75" customFormat="1" x14ac:dyDescent="0.25">
      <c r="A86" s="193"/>
      <c r="B86" s="229"/>
      <c r="C86" s="186"/>
      <c r="D86" s="186"/>
      <c r="E86" s="231"/>
    </row>
    <row r="87" spans="1:5" s="75" customFormat="1" x14ac:dyDescent="0.25">
      <c r="A87" s="193"/>
      <c r="B87" s="229"/>
      <c r="C87" s="186"/>
      <c r="D87" s="186"/>
      <c r="E87" s="231"/>
    </row>
    <row r="88" spans="1:5" s="75" customFormat="1" x14ac:dyDescent="0.25">
      <c r="A88" s="193"/>
      <c r="B88" s="229"/>
      <c r="C88" s="186"/>
      <c r="D88" s="186"/>
      <c r="E88" s="231"/>
    </row>
    <row r="89" spans="1:5" s="75" customFormat="1" x14ac:dyDescent="0.25">
      <c r="A89" s="193"/>
      <c r="B89" s="229"/>
      <c r="C89" s="186"/>
      <c r="D89" s="186"/>
      <c r="E89" s="231"/>
    </row>
    <row r="90" spans="1:5" s="75" customFormat="1" x14ac:dyDescent="0.25">
      <c r="A90" s="193"/>
      <c r="B90" s="229"/>
      <c r="C90" s="186"/>
      <c r="D90" s="186"/>
      <c r="E90" s="231"/>
    </row>
    <row r="91" spans="1:5" s="75" customFormat="1" x14ac:dyDescent="0.25">
      <c r="A91" s="193"/>
      <c r="B91" s="229"/>
      <c r="C91" s="186"/>
      <c r="D91" s="186"/>
      <c r="E91" s="231"/>
    </row>
    <row r="92" spans="1:5" s="75" customFormat="1" x14ac:dyDescent="0.25">
      <c r="A92" s="193"/>
      <c r="B92" s="229"/>
      <c r="C92" s="186"/>
      <c r="D92" s="186"/>
      <c r="E92" s="231"/>
    </row>
    <row r="93" spans="1:5" s="75" customFormat="1" x14ac:dyDescent="0.25">
      <c r="A93" s="193"/>
      <c r="B93" s="229"/>
      <c r="C93" s="186"/>
      <c r="D93" s="186"/>
      <c r="E93" s="231"/>
    </row>
    <row r="94" spans="1:5" s="75" customFormat="1" x14ac:dyDescent="0.25">
      <c r="A94" s="193"/>
      <c r="B94" s="229"/>
      <c r="C94" s="186"/>
      <c r="D94" s="186"/>
      <c r="E94" s="231"/>
    </row>
    <row r="95" spans="1:5" s="75" customFormat="1" x14ac:dyDescent="0.25">
      <c r="A95" s="193"/>
      <c r="B95" s="229"/>
      <c r="C95" s="186"/>
      <c r="D95" s="186"/>
      <c r="E95" s="231"/>
    </row>
    <row r="96" spans="1:5" s="75" customFormat="1" x14ac:dyDescent="0.25">
      <c r="A96" s="193"/>
      <c r="B96" s="229"/>
      <c r="C96" s="186"/>
      <c r="D96" s="186"/>
      <c r="E96" s="231"/>
    </row>
    <row r="97" spans="1:5" s="75" customFormat="1" x14ac:dyDescent="0.25">
      <c r="A97" s="193"/>
      <c r="B97" s="229"/>
      <c r="C97" s="186"/>
      <c r="D97" s="186"/>
      <c r="E97" s="231"/>
    </row>
    <row r="98" spans="1:5" s="75" customFormat="1" x14ac:dyDescent="0.25">
      <c r="A98" s="193"/>
      <c r="B98" s="229"/>
      <c r="C98" s="186"/>
      <c r="D98" s="186"/>
      <c r="E98" s="231"/>
    </row>
    <row r="99" spans="1:5" s="75" customFormat="1" x14ac:dyDescent="0.25">
      <c r="A99" s="193"/>
      <c r="B99" s="229"/>
      <c r="C99" s="186"/>
      <c r="D99" s="186"/>
      <c r="E99" s="231"/>
    </row>
    <row r="100" spans="1:5" s="75" customFormat="1" x14ac:dyDescent="0.25">
      <c r="A100" s="193"/>
      <c r="B100" s="229"/>
      <c r="C100" s="186"/>
      <c r="D100" s="186"/>
      <c r="E100" s="231"/>
    </row>
    <row r="101" spans="1:5" s="75" customFormat="1" x14ac:dyDescent="0.25">
      <c r="A101" s="193"/>
      <c r="B101" s="229"/>
      <c r="C101" s="186"/>
      <c r="D101" s="186"/>
      <c r="E101" s="231"/>
    </row>
    <row r="102" spans="1:5" s="75" customFormat="1" x14ac:dyDescent="0.25">
      <c r="A102" s="193"/>
      <c r="B102" s="229"/>
      <c r="C102" s="186"/>
      <c r="D102" s="186"/>
      <c r="E102" s="231"/>
    </row>
    <row r="103" spans="1:5" s="75" customFormat="1" x14ac:dyDescent="0.25">
      <c r="A103" s="193"/>
      <c r="B103" s="229"/>
      <c r="C103" s="186"/>
      <c r="D103" s="186"/>
      <c r="E103" s="231"/>
    </row>
    <row r="104" spans="1:5" s="75" customFormat="1" x14ac:dyDescent="0.25">
      <c r="A104" s="193"/>
      <c r="B104" s="229"/>
      <c r="C104" s="186"/>
      <c r="D104" s="186"/>
      <c r="E104" s="231"/>
    </row>
    <row r="105" spans="1:5" s="75" customFormat="1" x14ac:dyDescent="0.25">
      <c r="A105" s="193"/>
      <c r="B105" s="229"/>
      <c r="C105" s="186"/>
      <c r="D105" s="186"/>
      <c r="E105" s="231"/>
    </row>
    <row r="106" spans="1:5" s="75" customFormat="1" x14ac:dyDescent="0.25">
      <c r="A106" s="193"/>
      <c r="B106" s="229"/>
      <c r="C106" s="186"/>
      <c r="D106" s="186"/>
      <c r="E106" s="231"/>
    </row>
    <row r="107" spans="1:5" s="75" customFormat="1" x14ac:dyDescent="0.25">
      <c r="A107" s="193"/>
      <c r="B107" s="229"/>
      <c r="C107" s="186"/>
      <c r="D107" s="186"/>
      <c r="E107" s="231"/>
    </row>
    <row r="108" spans="1:5" s="75" customFormat="1" x14ac:dyDescent="0.25">
      <c r="A108" s="193"/>
      <c r="B108" s="229"/>
      <c r="C108" s="186"/>
      <c r="D108" s="186"/>
      <c r="E108" s="231"/>
    </row>
    <row r="109" spans="1:5" s="75" customFormat="1" x14ac:dyDescent="0.25">
      <c r="A109" s="193"/>
      <c r="B109" s="229"/>
      <c r="C109" s="186"/>
      <c r="D109" s="186"/>
      <c r="E109" s="231"/>
    </row>
    <row r="110" spans="1:5" s="75" customFormat="1" x14ac:dyDescent="0.25">
      <c r="A110" s="193"/>
      <c r="B110" s="229"/>
      <c r="C110" s="186"/>
      <c r="D110" s="186"/>
      <c r="E110" s="231"/>
    </row>
    <row r="111" spans="1:5" s="75" customFormat="1" x14ac:dyDescent="0.25">
      <c r="A111" s="193"/>
      <c r="B111" s="229"/>
      <c r="C111" s="186"/>
      <c r="D111" s="186"/>
      <c r="E111" s="231"/>
    </row>
    <row r="112" spans="1:5" s="75" customFormat="1" x14ac:dyDescent="0.25">
      <c r="A112" s="193"/>
      <c r="B112" s="229"/>
      <c r="C112" s="186"/>
      <c r="D112" s="186"/>
      <c r="E112" s="231"/>
    </row>
    <row r="113" spans="1:5" s="75" customFormat="1" x14ac:dyDescent="0.25">
      <c r="A113" s="193"/>
      <c r="B113" s="229"/>
      <c r="C113" s="186"/>
      <c r="D113" s="186"/>
      <c r="E113" s="231"/>
    </row>
    <row r="114" spans="1:5" s="75" customFormat="1" x14ac:dyDescent="0.25">
      <c r="A114" s="193"/>
      <c r="B114" s="229"/>
      <c r="C114" s="186"/>
      <c r="D114" s="186"/>
      <c r="E114" s="231"/>
    </row>
    <row r="115" spans="1:5" s="75" customFormat="1" x14ac:dyDescent="0.25">
      <c r="A115" s="193"/>
      <c r="B115" s="229"/>
      <c r="C115" s="186"/>
      <c r="D115" s="186"/>
      <c r="E115" s="231"/>
    </row>
    <row r="116" spans="1:5" s="75" customFormat="1" x14ac:dyDescent="0.25">
      <c r="A116" s="193"/>
      <c r="B116" s="229"/>
      <c r="C116" s="186"/>
      <c r="D116" s="186"/>
      <c r="E116" s="231"/>
    </row>
    <row r="117" spans="1:5" s="75" customFormat="1" x14ac:dyDescent="0.25">
      <c r="A117" s="193"/>
      <c r="B117" s="229"/>
      <c r="C117" s="186"/>
      <c r="D117" s="186"/>
      <c r="E117" s="231"/>
    </row>
    <row r="118" spans="1:5" s="75" customFormat="1" x14ac:dyDescent="0.25">
      <c r="A118" s="193"/>
      <c r="B118" s="229"/>
      <c r="C118" s="186"/>
      <c r="D118" s="186"/>
      <c r="E118" s="231"/>
    </row>
    <row r="119" spans="1:5" s="75" customFormat="1" x14ac:dyDescent="0.25">
      <c r="A119" s="193"/>
      <c r="B119" s="229"/>
      <c r="C119" s="186"/>
      <c r="D119" s="186"/>
      <c r="E119" s="231"/>
    </row>
    <row r="120" spans="1:5" s="75" customFormat="1" x14ac:dyDescent="0.25">
      <c r="A120" s="193"/>
      <c r="B120" s="229"/>
      <c r="C120" s="186"/>
      <c r="D120" s="186"/>
      <c r="E120" s="231"/>
    </row>
    <row r="121" spans="1:5" s="75" customFormat="1" x14ac:dyDescent="0.25">
      <c r="A121" s="193"/>
      <c r="B121" s="229"/>
      <c r="C121" s="186"/>
      <c r="D121" s="186"/>
      <c r="E121" s="231"/>
    </row>
    <row r="122" spans="1:5" s="75" customFormat="1" x14ac:dyDescent="0.25">
      <c r="A122" s="193"/>
      <c r="B122" s="229"/>
      <c r="C122" s="186"/>
      <c r="D122" s="186"/>
      <c r="E122" s="231"/>
    </row>
    <row r="123" spans="1:5" s="75" customFormat="1" x14ac:dyDescent="0.25">
      <c r="A123" s="193"/>
      <c r="B123" s="229"/>
      <c r="C123" s="186"/>
      <c r="D123" s="186"/>
      <c r="E123" s="231"/>
    </row>
    <row r="124" spans="1:5" s="75" customFormat="1" x14ac:dyDescent="0.25">
      <c r="A124" s="193"/>
      <c r="B124" s="229"/>
      <c r="C124" s="186"/>
      <c r="D124" s="186"/>
      <c r="E124" s="231"/>
    </row>
    <row r="125" spans="1:5" s="75" customFormat="1" x14ac:dyDescent="0.25">
      <c r="A125" s="193"/>
      <c r="B125" s="229"/>
      <c r="C125" s="186"/>
      <c r="D125" s="186"/>
      <c r="E125" s="231"/>
    </row>
    <row r="126" spans="1:5" s="75" customFormat="1" x14ac:dyDescent="0.25">
      <c r="A126" s="193"/>
      <c r="B126" s="229"/>
      <c r="C126" s="186"/>
      <c r="D126" s="186"/>
      <c r="E126" s="231"/>
    </row>
    <row r="127" spans="1:5" s="75" customFormat="1" x14ac:dyDescent="0.25">
      <c r="A127" s="193"/>
      <c r="B127" s="229"/>
      <c r="C127" s="186"/>
      <c r="D127" s="186"/>
      <c r="E127" s="231"/>
    </row>
    <row r="128" spans="1:5" s="75" customFormat="1" x14ac:dyDescent="0.25">
      <c r="A128" s="193"/>
      <c r="B128" s="229"/>
      <c r="C128" s="186"/>
      <c r="D128" s="186"/>
      <c r="E128" s="231"/>
    </row>
    <row r="129" spans="1:5" s="75" customFormat="1" x14ac:dyDescent="0.25">
      <c r="A129" s="193"/>
      <c r="B129" s="229"/>
      <c r="C129" s="186"/>
      <c r="D129" s="186"/>
      <c r="E129" s="231"/>
    </row>
    <row r="130" spans="1:5" s="75" customFormat="1" x14ac:dyDescent="0.25">
      <c r="A130" s="193"/>
      <c r="B130" s="229"/>
      <c r="C130" s="186"/>
      <c r="D130" s="186"/>
      <c r="E130" s="231"/>
    </row>
    <row r="131" spans="1:5" s="75" customFormat="1" x14ac:dyDescent="0.25">
      <c r="A131" s="193"/>
      <c r="B131" s="229"/>
      <c r="C131" s="186"/>
      <c r="D131" s="186"/>
      <c r="E131" s="231"/>
    </row>
    <row r="132" spans="1:5" s="75" customFormat="1" x14ac:dyDescent="0.25">
      <c r="A132" s="193"/>
      <c r="B132" s="229"/>
      <c r="C132" s="186"/>
      <c r="D132" s="186"/>
      <c r="E132" s="231"/>
    </row>
    <row r="133" spans="1:5" s="75" customFormat="1" x14ac:dyDescent="0.25">
      <c r="A133" s="193"/>
      <c r="B133" s="229"/>
      <c r="C133" s="186"/>
      <c r="D133" s="186"/>
      <c r="E133" s="231"/>
    </row>
    <row r="134" spans="1:5" s="75" customFormat="1" x14ac:dyDescent="0.25">
      <c r="A134" s="193"/>
      <c r="B134" s="229"/>
      <c r="C134" s="186"/>
      <c r="D134" s="186"/>
      <c r="E134" s="231"/>
    </row>
    <row r="135" spans="1:5" s="75" customFormat="1" x14ac:dyDescent="0.25">
      <c r="A135" s="193"/>
      <c r="B135" s="229"/>
      <c r="C135" s="186"/>
      <c r="D135" s="186"/>
      <c r="E135" s="231"/>
    </row>
    <row r="136" spans="1:5" s="75" customFormat="1" x14ac:dyDescent="0.25">
      <c r="A136" s="193"/>
      <c r="B136" s="229"/>
      <c r="C136" s="186"/>
      <c r="D136" s="186"/>
      <c r="E136" s="231"/>
    </row>
    <row r="137" spans="1:5" s="75" customFormat="1" x14ac:dyDescent="0.25">
      <c r="A137" s="193"/>
      <c r="B137" s="229"/>
      <c r="C137" s="186"/>
      <c r="D137" s="186"/>
      <c r="E137" s="231"/>
    </row>
    <row r="138" spans="1:5" s="75" customFormat="1" x14ac:dyDescent="0.25">
      <c r="A138" s="193"/>
      <c r="B138" s="229"/>
      <c r="C138" s="186"/>
      <c r="D138" s="186"/>
      <c r="E138" s="231"/>
    </row>
    <row r="139" spans="1:5" s="75" customFormat="1" x14ac:dyDescent="0.25">
      <c r="A139" s="193"/>
      <c r="B139" s="229"/>
      <c r="C139" s="186"/>
      <c r="D139" s="186"/>
      <c r="E139" s="231"/>
    </row>
    <row r="140" spans="1:5" s="75" customFormat="1" x14ac:dyDescent="0.25">
      <c r="A140" s="193"/>
      <c r="B140" s="229"/>
      <c r="C140" s="186"/>
      <c r="D140" s="186"/>
      <c r="E140" s="231"/>
    </row>
    <row r="141" spans="1:5" s="75" customFormat="1" x14ac:dyDescent="0.25">
      <c r="A141" s="193"/>
      <c r="B141" s="229"/>
      <c r="C141" s="186"/>
      <c r="D141" s="186"/>
      <c r="E141" s="231"/>
    </row>
    <row r="142" spans="1:5" s="75" customFormat="1" x14ac:dyDescent="0.25">
      <c r="A142" s="193"/>
      <c r="B142" s="229"/>
      <c r="C142" s="186"/>
      <c r="D142" s="186"/>
      <c r="E142" s="231"/>
    </row>
    <row r="143" spans="1:5" s="75" customFormat="1" x14ac:dyDescent="0.25">
      <c r="A143" s="193"/>
      <c r="B143" s="229"/>
      <c r="C143" s="186"/>
      <c r="D143" s="186"/>
      <c r="E143" s="231"/>
    </row>
    <row r="144" spans="1:5" s="75" customFormat="1" x14ac:dyDescent="0.25">
      <c r="A144" s="193"/>
      <c r="B144" s="229"/>
      <c r="C144" s="186"/>
      <c r="D144" s="186"/>
      <c r="E144" s="231"/>
    </row>
    <row r="145" spans="1:5" s="75" customFormat="1" x14ac:dyDescent="0.25">
      <c r="A145" s="193"/>
      <c r="B145" s="229"/>
      <c r="C145" s="186"/>
      <c r="D145" s="186"/>
      <c r="E145" s="231"/>
    </row>
    <row r="146" spans="1:5" s="75" customFormat="1" x14ac:dyDescent="0.25">
      <c r="A146" s="193"/>
      <c r="B146" s="229"/>
      <c r="C146" s="186"/>
      <c r="D146" s="186"/>
      <c r="E146" s="231"/>
    </row>
    <row r="147" spans="1:5" s="75" customFormat="1" x14ac:dyDescent="0.25">
      <c r="A147" s="193"/>
      <c r="B147" s="229"/>
      <c r="C147" s="186"/>
      <c r="D147" s="186"/>
      <c r="E147" s="231"/>
    </row>
    <row r="148" spans="1:5" s="75" customFormat="1" x14ac:dyDescent="0.25">
      <c r="A148" s="193"/>
      <c r="B148" s="229"/>
      <c r="C148" s="186"/>
      <c r="D148" s="186"/>
      <c r="E148" s="231"/>
    </row>
    <row r="149" spans="1:5" s="75" customFormat="1" x14ac:dyDescent="0.25">
      <c r="A149" s="193"/>
      <c r="B149" s="229"/>
      <c r="C149" s="186"/>
      <c r="D149" s="186"/>
      <c r="E149" s="231"/>
    </row>
    <row r="150" spans="1:5" s="75" customFormat="1" x14ac:dyDescent="0.25">
      <c r="A150" s="193"/>
      <c r="B150" s="229"/>
      <c r="C150" s="186"/>
      <c r="D150" s="186"/>
      <c r="E150" s="231"/>
    </row>
    <row r="151" spans="1:5" s="75" customFormat="1" x14ac:dyDescent="0.25">
      <c r="A151" s="193"/>
      <c r="B151" s="229"/>
      <c r="C151" s="186"/>
      <c r="D151" s="186"/>
      <c r="E151" s="231"/>
    </row>
    <row r="152" spans="1:5" s="75" customFormat="1" x14ac:dyDescent="0.25">
      <c r="A152" s="193"/>
      <c r="B152" s="229"/>
      <c r="C152" s="186"/>
      <c r="D152" s="186"/>
      <c r="E152" s="231"/>
    </row>
    <row r="153" spans="1:5" s="75" customFormat="1" x14ac:dyDescent="0.25">
      <c r="A153" s="193"/>
      <c r="B153" s="229"/>
      <c r="C153" s="186"/>
      <c r="D153" s="186"/>
      <c r="E153" s="231"/>
    </row>
    <row r="154" spans="1:5" s="75" customFormat="1" x14ac:dyDescent="0.25">
      <c r="A154" s="193"/>
      <c r="B154" s="229"/>
      <c r="C154" s="186"/>
      <c r="D154" s="186"/>
      <c r="E154" s="231"/>
    </row>
    <row r="155" spans="1:5" s="75" customFormat="1" x14ac:dyDescent="0.25">
      <c r="A155" s="193"/>
      <c r="B155" s="229"/>
      <c r="C155" s="186"/>
      <c r="D155" s="186"/>
      <c r="E155" s="231"/>
    </row>
    <row r="156" spans="1:5" s="75" customFormat="1" x14ac:dyDescent="0.25">
      <c r="A156" s="193"/>
      <c r="B156" s="229"/>
      <c r="C156" s="186"/>
      <c r="D156" s="186"/>
      <c r="E156" s="231"/>
    </row>
    <row r="157" spans="1:5" s="75" customFormat="1" x14ac:dyDescent="0.25">
      <c r="A157" s="193"/>
      <c r="B157" s="229"/>
      <c r="C157" s="186"/>
      <c r="D157" s="186"/>
      <c r="E157" s="231"/>
    </row>
    <row r="158" spans="1:5" s="75" customFormat="1" x14ac:dyDescent="0.25">
      <c r="A158" s="193"/>
      <c r="B158" s="229"/>
      <c r="C158" s="186"/>
      <c r="D158" s="186"/>
      <c r="E158" s="231"/>
    </row>
    <row r="159" spans="1:5" s="75" customFormat="1" x14ac:dyDescent="0.25">
      <c r="A159" s="193"/>
      <c r="B159" s="229"/>
      <c r="C159" s="186"/>
      <c r="D159" s="186"/>
      <c r="E159" s="231"/>
    </row>
    <row r="160" spans="1:5" s="75" customFormat="1" x14ac:dyDescent="0.25">
      <c r="A160" s="193"/>
      <c r="B160" s="229"/>
      <c r="C160" s="186"/>
      <c r="D160" s="186"/>
      <c r="E160" s="231"/>
    </row>
    <row r="161" spans="1:5" s="75" customFormat="1" x14ac:dyDescent="0.25">
      <c r="A161" s="193"/>
      <c r="B161" s="229"/>
      <c r="C161" s="186"/>
      <c r="D161" s="186"/>
      <c r="E161" s="231"/>
    </row>
    <row r="162" spans="1:5" s="75" customFormat="1" x14ac:dyDescent="0.25">
      <c r="A162" s="193"/>
      <c r="B162" s="229"/>
      <c r="C162" s="186"/>
      <c r="D162" s="186"/>
      <c r="E162" s="231"/>
    </row>
    <row r="163" spans="1:5" s="75" customFormat="1" x14ac:dyDescent="0.25">
      <c r="A163" s="193"/>
      <c r="B163" s="229"/>
      <c r="C163" s="186"/>
      <c r="D163" s="186"/>
      <c r="E163" s="231"/>
    </row>
    <row r="164" spans="1:5" s="75" customFormat="1" x14ac:dyDescent="0.25">
      <c r="A164" s="193"/>
      <c r="B164" s="229"/>
      <c r="C164" s="186"/>
      <c r="D164" s="186"/>
      <c r="E164" s="231"/>
    </row>
    <row r="165" spans="1:5" s="75" customFormat="1" x14ac:dyDescent="0.25">
      <c r="A165" s="193"/>
      <c r="B165" s="229"/>
      <c r="C165" s="186"/>
      <c r="D165" s="186"/>
      <c r="E165" s="231"/>
    </row>
    <row r="166" spans="1:5" s="75" customFormat="1" x14ac:dyDescent="0.25">
      <c r="A166" s="193"/>
      <c r="B166" s="229"/>
      <c r="C166" s="186"/>
      <c r="D166" s="186"/>
      <c r="E166" s="231"/>
    </row>
    <row r="167" spans="1:5" s="75" customFormat="1" x14ac:dyDescent="0.25">
      <c r="A167" s="193"/>
      <c r="B167" s="229"/>
      <c r="C167" s="186"/>
      <c r="D167" s="186"/>
      <c r="E167" s="231"/>
    </row>
    <row r="168" spans="1:5" s="75" customFormat="1" x14ac:dyDescent="0.25">
      <c r="A168" s="193"/>
      <c r="B168" s="229"/>
      <c r="C168" s="186"/>
      <c r="D168" s="186"/>
      <c r="E168" s="231"/>
    </row>
    <row r="169" spans="1:5" s="75" customFormat="1" x14ac:dyDescent="0.25">
      <c r="A169" s="193"/>
      <c r="B169" s="229"/>
      <c r="C169" s="186"/>
      <c r="D169" s="186"/>
      <c r="E169" s="231"/>
    </row>
    <row r="170" spans="1:5" s="75" customFormat="1" x14ac:dyDescent="0.25">
      <c r="A170" s="193"/>
      <c r="B170" s="229"/>
      <c r="C170" s="186"/>
      <c r="D170" s="186"/>
      <c r="E170" s="231"/>
    </row>
    <row r="171" spans="1:5" s="75" customFormat="1" x14ac:dyDescent="0.25">
      <c r="A171" s="193"/>
      <c r="B171" s="229"/>
      <c r="C171" s="186"/>
      <c r="D171" s="186"/>
      <c r="E171" s="231"/>
    </row>
    <row r="172" spans="1:5" s="75" customFormat="1" x14ac:dyDescent="0.25">
      <c r="A172" s="193"/>
      <c r="B172" s="229"/>
      <c r="C172" s="186"/>
      <c r="D172" s="186"/>
      <c r="E172" s="231"/>
    </row>
    <row r="173" spans="1:5" s="75" customFormat="1" x14ac:dyDescent="0.25">
      <c r="A173" s="193"/>
      <c r="B173" s="229"/>
      <c r="C173" s="186"/>
      <c r="D173" s="186"/>
      <c r="E173" s="231"/>
    </row>
    <row r="174" spans="1:5" s="75" customFormat="1" x14ac:dyDescent="0.25">
      <c r="A174" s="193"/>
      <c r="B174" s="229"/>
      <c r="C174" s="186"/>
      <c r="D174" s="186"/>
      <c r="E174" s="231"/>
    </row>
    <row r="175" spans="1:5" s="75" customFormat="1" x14ac:dyDescent="0.25">
      <c r="A175" s="193"/>
      <c r="B175" s="229"/>
      <c r="C175" s="186"/>
      <c r="D175" s="186"/>
      <c r="E175" s="231"/>
    </row>
    <row r="176" spans="1:5" s="75" customFormat="1" x14ac:dyDescent="0.25">
      <c r="A176" s="193"/>
      <c r="B176" s="229"/>
      <c r="C176" s="186"/>
      <c r="D176" s="186"/>
      <c r="E176" s="231"/>
    </row>
    <row r="177" spans="1:5" s="75" customFormat="1" x14ac:dyDescent="0.25">
      <c r="A177" s="193"/>
      <c r="B177" s="229"/>
      <c r="C177" s="186"/>
      <c r="D177" s="186"/>
      <c r="E177" s="231"/>
    </row>
    <row r="178" spans="1:5" s="75" customFormat="1" x14ac:dyDescent="0.25">
      <c r="A178" s="193"/>
      <c r="B178" s="229"/>
      <c r="C178" s="186"/>
      <c r="D178" s="186"/>
      <c r="E178" s="231"/>
    </row>
    <row r="179" spans="1:5" s="75" customFormat="1" x14ac:dyDescent="0.25">
      <c r="A179" s="193"/>
      <c r="B179" s="229"/>
      <c r="C179" s="186"/>
      <c r="D179" s="186"/>
      <c r="E179" s="231"/>
    </row>
    <row r="180" spans="1:5" s="75" customFormat="1" x14ac:dyDescent="0.25">
      <c r="A180" s="193"/>
      <c r="B180" s="229"/>
      <c r="C180" s="186"/>
      <c r="D180" s="186"/>
      <c r="E180" s="231"/>
    </row>
    <row r="181" spans="1:5" s="75" customFormat="1" x14ac:dyDescent="0.25">
      <c r="A181" s="193"/>
      <c r="B181" s="229"/>
      <c r="C181" s="186"/>
      <c r="D181" s="186"/>
      <c r="E181" s="231"/>
    </row>
    <row r="182" spans="1:5" s="75" customFormat="1" x14ac:dyDescent="0.25">
      <c r="A182" s="193"/>
      <c r="B182" s="229"/>
      <c r="C182" s="186"/>
      <c r="D182" s="186"/>
      <c r="E182" s="231"/>
    </row>
    <row r="183" spans="1:5" s="75" customFormat="1" x14ac:dyDescent="0.25">
      <c r="A183" s="193"/>
      <c r="B183" s="229"/>
      <c r="C183" s="186"/>
      <c r="D183" s="186"/>
      <c r="E183" s="231"/>
    </row>
    <row r="184" spans="1:5" s="75" customFormat="1" x14ac:dyDescent="0.25">
      <c r="A184" s="193"/>
      <c r="B184" s="229"/>
      <c r="C184" s="186"/>
      <c r="D184" s="186"/>
      <c r="E184" s="231"/>
    </row>
    <row r="185" spans="1:5" s="75" customFormat="1" x14ac:dyDescent="0.25">
      <c r="A185" s="193"/>
      <c r="B185" s="229"/>
      <c r="C185" s="186"/>
      <c r="D185" s="186"/>
      <c r="E185" s="231"/>
    </row>
    <row r="186" spans="1:5" s="75" customFormat="1" x14ac:dyDescent="0.25">
      <c r="A186" s="193"/>
      <c r="B186" s="229"/>
      <c r="C186" s="186"/>
      <c r="D186" s="186"/>
      <c r="E186" s="231"/>
    </row>
    <row r="187" spans="1:5" s="75" customFormat="1" x14ac:dyDescent="0.25">
      <c r="A187" s="193"/>
      <c r="B187" s="229"/>
      <c r="C187" s="186"/>
      <c r="D187" s="186"/>
      <c r="E187" s="231"/>
    </row>
    <row r="188" spans="1:5" s="75" customFormat="1" x14ac:dyDescent="0.25">
      <c r="A188" s="193"/>
      <c r="B188" s="229"/>
      <c r="C188" s="186"/>
      <c r="D188" s="186"/>
      <c r="E188" s="231"/>
    </row>
    <row r="189" spans="1:5" s="75" customFormat="1" x14ac:dyDescent="0.25">
      <c r="A189" s="193"/>
      <c r="B189" s="229"/>
      <c r="C189" s="186"/>
      <c r="D189" s="186"/>
      <c r="E189" s="231"/>
    </row>
    <row r="190" spans="1:5" s="75" customFormat="1" x14ac:dyDescent="0.25">
      <c r="A190" s="193"/>
      <c r="B190" s="229"/>
      <c r="C190" s="186"/>
      <c r="D190" s="186"/>
      <c r="E190" s="231"/>
    </row>
    <row r="191" spans="1:5" s="75" customFormat="1" x14ac:dyDescent="0.25">
      <c r="A191" s="193"/>
      <c r="B191" s="229"/>
      <c r="C191" s="186"/>
      <c r="D191" s="186"/>
      <c r="E191" s="231"/>
    </row>
    <row r="192" spans="1:5" s="75" customFormat="1" x14ac:dyDescent="0.25">
      <c r="A192" s="193"/>
      <c r="B192" s="229"/>
      <c r="C192" s="186"/>
      <c r="D192" s="186"/>
      <c r="E192" s="231"/>
    </row>
    <row r="193" spans="1:5" s="75" customFormat="1" x14ac:dyDescent="0.25">
      <c r="A193" s="193"/>
      <c r="B193" s="229"/>
      <c r="C193" s="186"/>
      <c r="D193" s="186"/>
      <c r="E193" s="231"/>
    </row>
    <row r="194" spans="1:5" s="75" customFormat="1" x14ac:dyDescent="0.25">
      <c r="A194" s="193"/>
      <c r="B194" s="229"/>
      <c r="C194" s="186"/>
      <c r="D194" s="186"/>
      <c r="E194" s="231"/>
    </row>
    <row r="195" spans="1:5" s="75" customFormat="1" x14ac:dyDescent="0.25">
      <c r="A195" s="193"/>
      <c r="B195" s="229"/>
      <c r="C195" s="186"/>
      <c r="D195" s="186"/>
      <c r="E195" s="231"/>
    </row>
    <row r="196" spans="1:5" s="75" customFormat="1" x14ac:dyDescent="0.25">
      <c r="A196" s="193"/>
      <c r="B196" s="229"/>
      <c r="C196" s="186"/>
      <c r="D196" s="186"/>
      <c r="E196" s="231"/>
    </row>
    <row r="197" spans="1:5" s="75" customFormat="1" x14ac:dyDescent="0.25">
      <c r="A197" s="193"/>
      <c r="B197" s="229"/>
      <c r="C197" s="186"/>
      <c r="D197" s="186"/>
      <c r="E197" s="231"/>
    </row>
    <row r="198" spans="1:5" s="75" customFormat="1" x14ac:dyDescent="0.25">
      <c r="A198" s="193"/>
      <c r="B198" s="229"/>
      <c r="C198" s="186"/>
      <c r="D198" s="186"/>
      <c r="E198" s="231"/>
    </row>
    <row r="199" spans="1:5" s="75" customFormat="1" x14ac:dyDescent="0.25">
      <c r="A199" s="193"/>
      <c r="B199" s="229"/>
      <c r="C199" s="186"/>
      <c r="D199" s="186"/>
      <c r="E199" s="231"/>
    </row>
    <row r="200" spans="1:5" s="75" customFormat="1" x14ac:dyDescent="0.25">
      <c r="A200" s="193"/>
      <c r="B200" s="229"/>
      <c r="C200" s="186"/>
      <c r="D200" s="186"/>
      <c r="E200" s="231"/>
    </row>
    <row r="201" spans="1:5" s="75" customFormat="1" x14ac:dyDescent="0.25">
      <c r="A201" s="193"/>
      <c r="B201" s="229"/>
      <c r="C201" s="186"/>
      <c r="D201" s="186"/>
      <c r="E201" s="231"/>
    </row>
    <row r="202" spans="1:5" s="75" customFormat="1" x14ac:dyDescent="0.25">
      <c r="A202" s="193"/>
      <c r="B202" s="229"/>
      <c r="C202" s="186"/>
      <c r="D202" s="186"/>
      <c r="E202" s="231"/>
    </row>
    <row r="203" spans="1:5" s="75" customFormat="1" x14ac:dyDescent="0.25">
      <c r="A203" s="193"/>
      <c r="B203" s="229"/>
      <c r="C203" s="186"/>
      <c r="D203" s="186"/>
      <c r="E203" s="231"/>
    </row>
    <row r="204" spans="1:5" s="75" customFormat="1" x14ac:dyDescent="0.25">
      <c r="A204" s="193"/>
      <c r="B204" s="229"/>
      <c r="C204" s="186"/>
      <c r="D204" s="186"/>
      <c r="E204" s="231"/>
    </row>
    <row r="205" spans="1:5" s="75" customFormat="1" x14ac:dyDescent="0.25">
      <c r="A205" s="193"/>
      <c r="B205" s="229"/>
      <c r="C205" s="186"/>
      <c r="D205" s="186"/>
      <c r="E205" s="231"/>
    </row>
    <row r="206" spans="1:5" s="75" customFormat="1" x14ac:dyDescent="0.25">
      <c r="A206" s="193"/>
      <c r="B206" s="229"/>
      <c r="C206" s="186"/>
      <c r="D206" s="186"/>
      <c r="E206" s="231"/>
    </row>
    <row r="207" spans="1:5" s="75" customFormat="1" x14ac:dyDescent="0.25">
      <c r="A207" s="193"/>
      <c r="B207" s="229"/>
      <c r="C207" s="186"/>
      <c r="D207" s="186"/>
      <c r="E207" s="231"/>
    </row>
    <row r="208" spans="1:5" s="75" customFormat="1" x14ac:dyDescent="0.25">
      <c r="A208" s="193"/>
      <c r="B208" s="229"/>
      <c r="C208" s="186"/>
      <c r="D208" s="186"/>
      <c r="E208" s="231"/>
    </row>
    <row r="209" spans="1:5" s="75" customFormat="1" x14ac:dyDescent="0.25">
      <c r="A209" s="193"/>
      <c r="B209" s="229"/>
      <c r="C209" s="186"/>
      <c r="D209" s="186"/>
      <c r="E209" s="231"/>
    </row>
    <row r="210" spans="1:5" s="75" customFormat="1" x14ac:dyDescent="0.25">
      <c r="A210" s="193"/>
      <c r="B210" s="229"/>
      <c r="C210" s="186"/>
      <c r="D210" s="186"/>
      <c r="E210" s="231"/>
    </row>
    <row r="211" spans="1:5" s="75" customFormat="1" x14ac:dyDescent="0.25">
      <c r="A211" s="193"/>
      <c r="B211" s="229"/>
      <c r="C211" s="186"/>
      <c r="D211" s="186"/>
      <c r="E211" s="231"/>
    </row>
    <row r="212" spans="1:5" s="75" customFormat="1" x14ac:dyDescent="0.25">
      <c r="A212" s="193"/>
      <c r="B212" s="229"/>
      <c r="C212" s="186"/>
      <c r="D212" s="186"/>
      <c r="E212" s="231"/>
    </row>
    <row r="213" spans="1:5" s="75" customFormat="1" x14ac:dyDescent="0.25">
      <c r="A213" s="193"/>
      <c r="B213" s="229"/>
      <c r="C213" s="186"/>
      <c r="D213" s="186"/>
      <c r="E213" s="231"/>
    </row>
    <row r="214" spans="1:5" s="75" customFormat="1" x14ac:dyDescent="0.25">
      <c r="A214" s="193"/>
      <c r="B214" s="229"/>
      <c r="C214" s="186"/>
      <c r="D214" s="186"/>
      <c r="E214" s="231"/>
    </row>
    <row r="215" spans="1:5" s="75" customFormat="1" x14ac:dyDescent="0.25">
      <c r="A215" s="193"/>
      <c r="B215" s="229"/>
      <c r="C215" s="186"/>
      <c r="D215" s="186"/>
      <c r="E215" s="231"/>
    </row>
    <row r="216" spans="1:5" s="75" customFormat="1" x14ac:dyDescent="0.25">
      <c r="A216" s="193"/>
      <c r="B216" s="229"/>
      <c r="C216" s="186"/>
      <c r="D216" s="186"/>
      <c r="E216" s="231"/>
    </row>
    <row r="217" spans="1:5" s="75" customFormat="1" x14ac:dyDescent="0.25">
      <c r="A217" s="193"/>
      <c r="B217" s="229"/>
      <c r="C217" s="186"/>
      <c r="D217" s="186"/>
      <c r="E217" s="231"/>
    </row>
    <row r="218" spans="1:5" s="75" customFormat="1" x14ac:dyDescent="0.25">
      <c r="A218" s="193"/>
      <c r="B218" s="229"/>
      <c r="C218" s="186"/>
      <c r="D218" s="186"/>
      <c r="E218" s="231"/>
    </row>
    <row r="219" spans="1:5" s="75" customFormat="1" x14ac:dyDescent="0.25">
      <c r="A219" s="193"/>
      <c r="B219" s="229"/>
      <c r="C219" s="186"/>
      <c r="D219" s="186"/>
      <c r="E219" s="231"/>
    </row>
    <row r="220" spans="1:5" s="75" customFormat="1" x14ac:dyDescent="0.25">
      <c r="A220" s="193"/>
      <c r="B220" s="229"/>
      <c r="C220" s="186"/>
      <c r="D220" s="186"/>
      <c r="E220" s="231"/>
    </row>
    <row r="221" spans="1:5" s="75" customFormat="1" x14ac:dyDescent="0.25">
      <c r="A221" s="193"/>
      <c r="B221" s="229"/>
      <c r="C221" s="186"/>
      <c r="D221" s="186"/>
      <c r="E221" s="231"/>
    </row>
    <row r="222" spans="1:5" s="75" customFormat="1" x14ac:dyDescent="0.25">
      <c r="A222" s="193"/>
      <c r="B222" s="229"/>
      <c r="C222" s="186"/>
      <c r="D222" s="186"/>
      <c r="E222" s="231"/>
    </row>
    <row r="223" spans="1:5" s="75" customFormat="1" x14ac:dyDescent="0.25">
      <c r="A223" s="193"/>
      <c r="B223" s="229"/>
      <c r="C223" s="186"/>
      <c r="D223" s="186"/>
      <c r="E223" s="231"/>
    </row>
    <row r="224" spans="1:5" s="75" customFormat="1" x14ac:dyDescent="0.25">
      <c r="A224" s="193"/>
      <c r="B224" s="229"/>
      <c r="C224" s="186"/>
      <c r="D224" s="186"/>
      <c r="E224" s="231"/>
    </row>
    <row r="225" spans="1:5" s="75" customFormat="1" x14ac:dyDescent="0.25">
      <c r="A225" s="193"/>
      <c r="B225" s="229"/>
      <c r="C225" s="186"/>
      <c r="D225" s="186"/>
      <c r="E225" s="231"/>
    </row>
    <row r="226" spans="1:5" s="75" customFormat="1" x14ac:dyDescent="0.25">
      <c r="A226" s="193"/>
      <c r="B226" s="229"/>
      <c r="C226" s="186"/>
      <c r="D226" s="186"/>
      <c r="E226" s="231"/>
    </row>
    <row r="227" spans="1:5" s="75" customFormat="1" x14ac:dyDescent="0.25">
      <c r="A227" s="193"/>
      <c r="B227" s="229"/>
      <c r="C227" s="186"/>
      <c r="D227" s="186"/>
      <c r="E227" s="231"/>
    </row>
    <row r="228" spans="1:5" s="75" customFormat="1" x14ac:dyDescent="0.25">
      <c r="A228" s="193"/>
      <c r="B228" s="229"/>
      <c r="C228" s="186"/>
      <c r="D228" s="186"/>
      <c r="E228" s="231"/>
    </row>
    <row r="229" spans="1:5" s="75" customFormat="1" x14ac:dyDescent="0.25">
      <c r="A229" s="193"/>
      <c r="B229" s="229"/>
      <c r="C229" s="186"/>
      <c r="D229" s="186"/>
      <c r="E229" s="231"/>
    </row>
    <row r="230" spans="1:5" s="75" customFormat="1" x14ac:dyDescent="0.25">
      <c r="A230" s="193"/>
      <c r="B230" s="229"/>
      <c r="C230" s="186"/>
      <c r="D230" s="186"/>
      <c r="E230" s="231"/>
    </row>
    <row r="231" spans="1:5" s="75" customFormat="1" x14ac:dyDescent="0.25">
      <c r="A231" s="193"/>
      <c r="B231" s="229"/>
      <c r="C231" s="186"/>
      <c r="D231" s="186"/>
      <c r="E231" s="231"/>
    </row>
    <row r="232" spans="1:5" s="75" customFormat="1" x14ac:dyDescent="0.25">
      <c r="A232" s="193"/>
      <c r="B232" s="229"/>
      <c r="C232" s="186"/>
      <c r="D232" s="186"/>
      <c r="E232" s="231"/>
    </row>
    <row r="233" spans="1:5" s="75" customFormat="1" x14ac:dyDescent="0.25">
      <c r="A233" s="193"/>
      <c r="B233" s="229"/>
      <c r="C233" s="186"/>
      <c r="D233" s="186"/>
      <c r="E233" s="231"/>
    </row>
    <row r="234" spans="1:5" s="75" customFormat="1" x14ac:dyDescent="0.25">
      <c r="A234" s="193"/>
      <c r="B234" s="229"/>
      <c r="C234" s="186"/>
      <c r="D234" s="186"/>
      <c r="E234" s="231"/>
    </row>
    <row r="235" spans="1:5" s="75" customFormat="1" x14ac:dyDescent="0.25">
      <c r="A235" s="193"/>
      <c r="B235" s="229"/>
      <c r="C235" s="186"/>
      <c r="D235" s="186"/>
      <c r="E235" s="231"/>
    </row>
    <row r="236" spans="1:5" s="75" customFormat="1" x14ac:dyDescent="0.25">
      <c r="A236" s="193"/>
      <c r="B236" s="229"/>
      <c r="C236" s="186"/>
      <c r="D236" s="186"/>
      <c r="E236" s="231"/>
    </row>
    <row r="237" spans="1:5" s="75" customFormat="1" x14ac:dyDescent="0.25">
      <c r="A237" s="193"/>
      <c r="B237" s="229"/>
      <c r="C237" s="186"/>
      <c r="D237" s="186"/>
      <c r="E237" s="231"/>
    </row>
    <row r="238" spans="1:5" s="75" customFormat="1" x14ac:dyDescent="0.25">
      <c r="A238" s="193"/>
      <c r="B238" s="229"/>
      <c r="C238" s="186"/>
      <c r="D238" s="186"/>
      <c r="E238" s="231"/>
    </row>
    <row r="239" spans="1:5" s="75" customFormat="1" x14ac:dyDescent="0.25">
      <c r="A239" s="193"/>
      <c r="B239" s="229"/>
      <c r="C239" s="186"/>
      <c r="D239" s="186"/>
      <c r="E239" s="231"/>
    </row>
    <row r="240" spans="1:5" s="75" customFormat="1" x14ac:dyDescent="0.25">
      <c r="A240" s="193"/>
      <c r="B240" s="229"/>
      <c r="C240" s="186"/>
      <c r="D240" s="186"/>
      <c r="E240" s="231"/>
    </row>
    <row r="241" spans="1:5" s="75" customFormat="1" x14ac:dyDescent="0.25">
      <c r="A241" s="193"/>
      <c r="B241" s="229"/>
      <c r="C241" s="186"/>
      <c r="D241" s="186"/>
      <c r="E241" s="231"/>
    </row>
    <row r="242" spans="1:5" s="75" customFormat="1" x14ac:dyDescent="0.25">
      <c r="A242" s="193"/>
      <c r="B242" s="229"/>
      <c r="C242" s="186"/>
      <c r="D242" s="186"/>
      <c r="E242" s="231"/>
    </row>
    <row r="243" spans="1:5" s="75" customFormat="1" x14ac:dyDescent="0.25">
      <c r="A243" s="193"/>
      <c r="B243" s="229"/>
      <c r="C243" s="186"/>
      <c r="D243" s="186"/>
      <c r="E243" s="231"/>
    </row>
    <row r="244" spans="1:5" s="75" customFormat="1" x14ac:dyDescent="0.25">
      <c r="A244" s="193"/>
      <c r="B244" s="229"/>
      <c r="C244" s="186"/>
      <c r="D244" s="186"/>
      <c r="E244" s="231"/>
    </row>
    <row r="245" spans="1:5" s="75" customFormat="1" x14ac:dyDescent="0.25">
      <c r="A245" s="193"/>
      <c r="B245" s="229"/>
      <c r="C245" s="186"/>
      <c r="D245" s="186"/>
      <c r="E245" s="231"/>
    </row>
    <row r="246" spans="1:5" s="75" customFormat="1" x14ac:dyDescent="0.25">
      <c r="A246" s="193"/>
      <c r="B246" s="229"/>
      <c r="C246" s="186"/>
      <c r="D246" s="186"/>
      <c r="E246" s="231"/>
    </row>
    <row r="247" spans="1:5" s="75" customFormat="1" x14ac:dyDescent="0.25">
      <c r="A247" s="193"/>
      <c r="B247" s="229"/>
      <c r="C247" s="186"/>
      <c r="D247" s="186"/>
      <c r="E247" s="231"/>
    </row>
    <row r="248" spans="1:5" s="75" customFormat="1" x14ac:dyDescent="0.25">
      <c r="A248" s="193"/>
      <c r="B248" s="229"/>
      <c r="C248" s="186"/>
      <c r="D248" s="186"/>
      <c r="E248" s="231"/>
    </row>
    <row r="249" spans="1:5" s="75" customFormat="1" x14ac:dyDescent="0.25">
      <c r="A249" s="193"/>
      <c r="B249" s="229"/>
      <c r="C249" s="186"/>
      <c r="D249" s="186"/>
      <c r="E249" s="231"/>
    </row>
    <row r="250" spans="1:5" s="75" customFormat="1" x14ac:dyDescent="0.25">
      <c r="A250" s="193"/>
      <c r="B250" s="229"/>
      <c r="C250" s="186"/>
      <c r="D250" s="186"/>
      <c r="E250" s="231"/>
    </row>
    <row r="251" spans="1:5" s="75" customFormat="1" x14ac:dyDescent="0.25">
      <c r="A251" s="193"/>
      <c r="B251" s="229"/>
      <c r="C251" s="186"/>
      <c r="D251" s="186"/>
      <c r="E251" s="231"/>
    </row>
    <row r="252" spans="1:5" s="75" customFormat="1" x14ac:dyDescent="0.25">
      <c r="A252" s="193"/>
      <c r="B252" s="229"/>
      <c r="C252" s="186"/>
      <c r="D252" s="186"/>
      <c r="E252" s="231"/>
    </row>
    <row r="253" spans="1:5" s="75" customFormat="1" x14ac:dyDescent="0.25">
      <c r="A253" s="193"/>
      <c r="B253" s="229"/>
      <c r="C253" s="186"/>
      <c r="D253" s="186"/>
      <c r="E253" s="231"/>
    </row>
    <row r="254" spans="1:5" s="75" customFormat="1" x14ac:dyDescent="0.25">
      <c r="A254" s="193"/>
      <c r="B254" s="229"/>
      <c r="C254" s="186"/>
      <c r="D254" s="186"/>
      <c r="E254" s="231"/>
    </row>
    <row r="255" spans="1:5" s="75" customFormat="1" x14ac:dyDescent="0.25">
      <c r="A255" s="193"/>
      <c r="B255" s="229"/>
      <c r="C255" s="186"/>
      <c r="D255" s="186"/>
      <c r="E255" s="231"/>
    </row>
    <row r="256" spans="1:5" s="75" customFormat="1" x14ac:dyDescent="0.25">
      <c r="A256" s="193"/>
      <c r="B256" s="229"/>
      <c r="C256" s="186"/>
      <c r="D256" s="186"/>
      <c r="E256" s="231"/>
    </row>
    <row r="257" spans="1:5" s="75" customFormat="1" x14ac:dyDescent="0.25">
      <c r="A257" s="193"/>
      <c r="B257" s="229"/>
      <c r="C257" s="186"/>
      <c r="D257" s="186"/>
      <c r="E257" s="231"/>
    </row>
    <row r="258" spans="1:5" s="75" customFormat="1" x14ac:dyDescent="0.25">
      <c r="A258" s="193"/>
      <c r="B258" s="229"/>
      <c r="C258" s="186"/>
      <c r="D258" s="186"/>
      <c r="E258" s="231"/>
    </row>
    <row r="259" spans="1:5" s="75" customFormat="1" x14ac:dyDescent="0.25">
      <c r="A259" s="193"/>
      <c r="B259" s="229"/>
      <c r="C259" s="186"/>
      <c r="D259" s="186"/>
      <c r="E259" s="231"/>
    </row>
    <row r="260" spans="1:5" s="75" customFormat="1" x14ac:dyDescent="0.25">
      <c r="A260" s="193"/>
      <c r="B260" s="229"/>
      <c r="C260" s="186"/>
      <c r="D260" s="186"/>
      <c r="E260" s="231"/>
    </row>
    <row r="261" spans="1:5" s="75" customFormat="1" x14ac:dyDescent="0.25">
      <c r="A261" s="193"/>
      <c r="B261" s="229"/>
      <c r="C261" s="186"/>
      <c r="D261" s="186"/>
      <c r="E261" s="231"/>
    </row>
    <row r="262" spans="1:5" s="75" customFormat="1" x14ac:dyDescent="0.25">
      <c r="A262" s="193"/>
      <c r="B262" s="229"/>
      <c r="C262" s="186"/>
      <c r="D262" s="186"/>
      <c r="E262" s="231"/>
    </row>
    <row r="263" spans="1:5" s="75" customFormat="1" x14ac:dyDescent="0.25">
      <c r="A263" s="193"/>
      <c r="B263" s="229"/>
      <c r="C263" s="186"/>
      <c r="D263" s="186"/>
      <c r="E263" s="231"/>
    </row>
    <row r="264" spans="1:5" s="75" customFormat="1" x14ac:dyDescent="0.25">
      <c r="A264" s="193"/>
      <c r="B264" s="229"/>
      <c r="C264" s="186"/>
      <c r="D264" s="186"/>
      <c r="E264" s="231"/>
    </row>
    <row r="265" spans="1:5" s="75" customFormat="1" x14ac:dyDescent="0.25">
      <c r="A265" s="193"/>
      <c r="B265" s="229"/>
      <c r="C265" s="186"/>
      <c r="D265" s="186"/>
      <c r="E265" s="231"/>
    </row>
    <row r="266" spans="1:5" s="75" customFormat="1" x14ac:dyDescent="0.25">
      <c r="A266" s="193"/>
      <c r="B266" s="229"/>
      <c r="C266" s="186"/>
      <c r="D266" s="186"/>
      <c r="E266" s="231"/>
    </row>
    <row r="267" spans="1:5" s="75" customFormat="1" x14ac:dyDescent="0.25">
      <c r="A267" s="193"/>
      <c r="B267" s="229"/>
      <c r="C267" s="186"/>
      <c r="D267" s="186"/>
      <c r="E267" s="231"/>
    </row>
    <row r="268" spans="1:5" s="75" customFormat="1" x14ac:dyDescent="0.25">
      <c r="A268" s="193"/>
      <c r="B268" s="229"/>
      <c r="C268" s="186"/>
      <c r="D268" s="186"/>
      <c r="E268" s="231"/>
    </row>
    <row r="269" spans="1:5" s="75" customFormat="1" x14ac:dyDescent="0.25">
      <c r="A269" s="193"/>
      <c r="B269" s="229"/>
      <c r="C269" s="186"/>
      <c r="D269" s="186"/>
      <c r="E269" s="231"/>
    </row>
    <row r="270" spans="1:5" s="75" customFormat="1" x14ac:dyDescent="0.25">
      <c r="A270" s="193"/>
      <c r="B270" s="229"/>
      <c r="C270" s="186"/>
      <c r="D270" s="186"/>
      <c r="E270" s="231"/>
    </row>
    <row r="271" spans="1:5" s="75" customFormat="1" x14ac:dyDescent="0.25">
      <c r="A271" s="193"/>
      <c r="B271" s="229"/>
      <c r="C271" s="186"/>
      <c r="D271" s="186"/>
      <c r="E271" s="231"/>
    </row>
    <row r="272" spans="1:5" s="75" customFormat="1" x14ac:dyDescent="0.25">
      <c r="A272" s="193"/>
      <c r="B272" s="229"/>
      <c r="C272" s="186"/>
      <c r="D272" s="186"/>
      <c r="E272" s="231"/>
    </row>
    <row r="273" spans="1:5" s="75" customFormat="1" x14ac:dyDescent="0.25">
      <c r="A273" s="193"/>
      <c r="B273" s="229"/>
      <c r="C273" s="186"/>
      <c r="D273" s="186"/>
      <c r="E273" s="231"/>
    </row>
    <row r="274" spans="1:5" s="75" customFormat="1" x14ac:dyDescent="0.25">
      <c r="A274" s="193"/>
      <c r="B274" s="229"/>
      <c r="C274" s="186"/>
      <c r="D274" s="186"/>
      <c r="E274" s="231"/>
    </row>
    <row r="275" spans="1:5" s="75" customFormat="1" x14ac:dyDescent="0.25">
      <c r="A275" s="193"/>
      <c r="B275" s="229"/>
      <c r="C275" s="186"/>
      <c r="D275" s="186"/>
      <c r="E275" s="231"/>
    </row>
    <row r="276" spans="1:5" s="75" customFormat="1" x14ac:dyDescent="0.25">
      <c r="A276" s="193"/>
      <c r="B276" s="229"/>
      <c r="C276" s="186"/>
      <c r="D276" s="186"/>
      <c r="E276" s="231"/>
    </row>
    <row r="277" spans="1:5" s="75" customFormat="1" x14ac:dyDescent="0.25">
      <c r="A277" s="193"/>
      <c r="B277" s="229"/>
      <c r="C277" s="186"/>
      <c r="D277" s="186"/>
      <c r="E277" s="231"/>
    </row>
    <row r="278" spans="1:5" s="75" customFormat="1" x14ac:dyDescent="0.25">
      <c r="A278" s="193"/>
      <c r="B278" s="229"/>
      <c r="C278" s="186"/>
      <c r="D278" s="186"/>
      <c r="E278" s="231"/>
    </row>
    <row r="279" spans="1:5" s="75" customFormat="1" x14ac:dyDescent="0.25">
      <c r="A279" s="193"/>
      <c r="B279" s="229"/>
      <c r="C279" s="186"/>
      <c r="D279" s="186"/>
      <c r="E279" s="231"/>
    </row>
    <row r="280" spans="1:5" s="75" customFormat="1" x14ac:dyDescent="0.25">
      <c r="A280" s="193"/>
      <c r="B280" s="229"/>
      <c r="C280" s="186"/>
      <c r="D280" s="186"/>
      <c r="E280" s="231"/>
    </row>
    <row r="281" spans="1:5" s="75" customFormat="1" x14ac:dyDescent="0.25">
      <c r="A281" s="193"/>
      <c r="B281" s="229"/>
      <c r="C281" s="186"/>
      <c r="D281" s="186"/>
      <c r="E281" s="231"/>
    </row>
    <row r="282" spans="1:5" s="75" customFormat="1" x14ac:dyDescent="0.25">
      <c r="A282" s="193"/>
      <c r="B282" s="229"/>
      <c r="C282" s="186"/>
      <c r="D282" s="186"/>
      <c r="E282" s="231"/>
    </row>
    <row r="283" spans="1:5" s="75" customFormat="1" x14ac:dyDescent="0.25">
      <c r="A283" s="193"/>
      <c r="B283" s="229"/>
      <c r="C283" s="186"/>
      <c r="D283" s="186"/>
      <c r="E283" s="231"/>
    </row>
    <row r="284" spans="1:5" s="75" customFormat="1" x14ac:dyDescent="0.25">
      <c r="A284" s="193"/>
      <c r="B284" s="229"/>
      <c r="C284" s="186"/>
      <c r="D284" s="186"/>
      <c r="E284" s="231"/>
    </row>
    <row r="285" spans="1:5" s="75" customFormat="1" x14ac:dyDescent="0.25">
      <c r="A285" s="193"/>
      <c r="B285" s="229"/>
      <c r="C285" s="186"/>
      <c r="D285" s="186"/>
      <c r="E285" s="231"/>
    </row>
    <row r="286" spans="1:5" s="75" customFormat="1" x14ac:dyDescent="0.25">
      <c r="A286" s="193"/>
      <c r="B286" s="229"/>
      <c r="C286" s="186"/>
      <c r="D286" s="186"/>
      <c r="E286" s="231"/>
    </row>
    <row r="287" spans="1:5" s="75" customFormat="1" x14ac:dyDescent="0.25">
      <c r="A287" s="193"/>
      <c r="B287" s="229"/>
      <c r="C287" s="186"/>
      <c r="D287" s="186"/>
      <c r="E287" s="231"/>
    </row>
    <row r="288" spans="1:5" s="75" customFormat="1" x14ac:dyDescent="0.25">
      <c r="A288" s="193"/>
      <c r="B288" s="229"/>
      <c r="C288" s="186"/>
      <c r="D288" s="186"/>
      <c r="E288" s="231"/>
    </row>
    <row r="289" spans="1:5" s="75" customFormat="1" x14ac:dyDescent="0.25">
      <c r="A289" s="193"/>
      <c r="B289" s="229"/>
      <c r="C289" s="186"/>
      <c r="D289" s="186"/>
      <c r="E289" s="231"/>
    </row>
    <row r="290" spans="1:5" s="75" customFormat="1" x14ac:dyDescent="0.25">
      <c r="A290" s="193"/>
      <c r="B290" s="229"/>
      <c r="C290" s="186"/>
      <c r="D290" s="186"/>
      <c r="E290" s="231"/>
    </row>
    <row r="291" spans="1:5" s="75" customFormat="1" x14ac:dyDescent="0.25">
      <c r="A291" s="193"/>
      <c r="B291" s="229"/>
      <c r="C291" s="186"/>
      <c r="D291" s="186"/>
      <c r="E291" s="231"/>
    </row>
    <row r="292" spans="1:5" s="75" customFormat="1" x14ac:dyDescent="0.25">
      <c r="A292" s="193"/>
      <c r="B292" s="229"/>
      <c r="C292" s="186"/>
      <c r="D292" s="186"/>
      <c r="E292" s="231"/>
    </row>
    <row r="293" spans="1:5" s="75" customFormat="1" x14ac:dyDescent="0.25">
      <c r="A293" s="193"/>
      <c r="B293" s="229"/>
      <c r="C293" s="186"/>
      <c r="D293" s="186"/>
      <c r="E293" s="231"/>
    </row>
    <row r="294" spans="1:5" s="75" customFormat="1" x14ac:dyDescent="0.25">
      <c r="A294" s="193"/>
      <c r="B294" s="229"/>
      <c r="C294" s="186"/>
      <c r="D294" s="186"/>
      <c r="E294" s="231"/>
    </row>
    <row r="295" spans="1:5" s="75" customFormat="1" x14ac:dyDescent="0.25">
      <c r="A295" s="193"/>
      <c r="B295" s="229"/>
      <c r="C295" s="186"/>
      <c r="D295" s="186"/>
      <c r="E295" s="231"/>
    </row>
    <row r="296" spans="1:5" s="75" customFormat="1" x14ac:dyDescent="0.25">
      <c r="A296" s="193"/>
      <c r="B296" s="229"/>
      <c r="C296" s="186"/>
      <c r="D296" s="186"/>
      <c r="E296" s="231"/>
    </row>
    <row r="297" spans="1:5" s="75" customFormat="1" x14ac:dyDescent="0.25">
      <c r="A297" s="193"/>
      <c r="B297" s="229"/>
      <c r="C297" s="186"/>
      <c r="D297" s="186"/>
      <c r="E297" s="231"/>
    </row>
    <row r="298" spans="1:5" s="75" customFormat="1" x14ac:dyDescent="0.25">
      <c r="A298" s="193"/>
      <c r="B298" s="229"/>
      <c r="C298" s="186"/>
      <c r="D298" s="186"/>
      <c r="E298" s="231"/>
    </row>
    <row r="299" spans="1:5" s="75" customFormat="1" x14ac:dyDescent="0.25">
      <c r="A299" s="193"/>
      <c r="B299" s="229"/>
      <c r="C299" s="186"/>
      <c r="D299" s="186"/>
      <c r="E299" s="231"/>
    </row>
    <row r="300" spans="1:5" s="75" customFormat="1" x14ac:dyDescent="0.25">
      <c r="A300" s="193"/>
      <c r="B300" s="229"/>
      <c r="C300" s="186"/>
      <c r="D300" s="186"/>
      <c r="E300" s="231"/>
    </row>
    <row r="301" spans="1:5" s="75" customFormat="1" x14ac:dyDescent="0.25">
      <c r="A301" s="193"/>
      <c r="B301" s="229"/>
      <c r="C301" s="186"/>
      <c r="D301" s="186"/>
      <c r="E301" s="231"/>
    </row>
    <row r="302" spans="1:5" s="75" customFormat="1" x14ac:dyDescent="0.25">
      <c r="A302" s="193"/>
      <c r="B302" s="229"/>
      <c r="C302" s="186"/>
      <c r="D302" s="186"/>
      <c r="E302" s="231"/>
    </row>
    <row r="303" spans="1:5" s="75" customFormat="1" x14ac:dyDescent="0.25">
      <c r="A303" s="193"/>
      <c r="B303" s="229"/>
      <c r="C303" s="186"/>
      <c r="D303" s="186"/>
      <c r="E303" s="231"/>
    </row>
    <row r="304" spans="1:5" s="75" customFormat="1" x14ac:dyDescent="0.25">
      <c r="A304" s="193"/>
      <c r="B304" s="229"/>
      <c r="C304" s="186"/>
      <c r="D304" s="186"/>
      <c r="E304" s="231"/>
    </row>
    <row r="305" spans="1:5" s="75" customFormat="1" x14ac:dyDescent="0.25">
      <c r="A305" s="193"/>
      <c r="B305" s="229"/>
      <c r="C305" s="186"/>
      <c r="D305" s="186"/>
      <c r="E305" s="231"/>
    </row>
    <row r="306" spans="1:5" s="75" customFormat="1" x14ac:dyDescent="0.25">
      <c r="A306" s="193"/>
      <c r="B306" s="229"/>
      <c r="C306" s="186"/>
      <c r="D306" s="186"/>
      <c r="E306" s="231"/>
    </row>
    <row r="307" spans="1:5" s="75" customFormat="1" x14ac:dyDescent="0.25">
      <c r="A307" s="193"/>
      <c r="B307" s="229"/>
      <c r="C307" s="186"/>
      <c r="D307" s="186"/>
      <c r="E307" s="231"/>
    </row>
    <row r="308" spans="1:5" s="75" customFormat="1" x14ac:dyDescent="0.25">
      <c r="A308" s="193"/>
      <c r="B308" s="229"/>
      <c r="C308" s="186"/>
      <c r="D308" s="186"/>
      <c r="E308" s="231"/>
    </row>
    <row r="309" spans="1:5" s="75" customFormat="1" x14ac:dyDescent="0.25">
      <c r="A309" s="193"/>
      <c r="B309" s="229"/>
      <c r="C309" s="186"/>
      <c r="D309" s="186"/>
      <c r="E309" s="231"/>
    </row>
    <row r="310" spans="1:5" s="75" customFormat="1" x14ac:dyDescent="0.25">
      <c r="A310" s="193"/>
      <c r="B310" s="229"/>
      <c r="C310" s="186"/>
      <c r="D310" s="186"/>
      <c r="E310" s="231"/>
    </row>
    <row r="311" spans="1:5" s="75" customFormat="1" x14ac:dyDescent="0.25">
      <c r="A311" s="193"/>
      <c r="B311" s="229"/>
      <c r="C311" s="186"/>
      <c r="D311" s="186"/>
      <c r="E311" s="231"/>
    </row>
    <row r="312" spans="1:5" s="75" customFormat="1" x14ac:dyDescent="0.25">
      <c r="A312" s="193"/>
      <c r="B312" s="229"/>
      <c r="C312" s="186"/>
      <c r="D312" s="186"/>
      <c r="E312" s="231"/>
    </row>
    <row r="313" spans="1:5" s="75" customFormat="1" x14ac:dyDescent="0.25">
      <c r="A313" s="193"/>
      <c r="B313" s="229"/>
      <c r="C313" s="186"/>
      <c r="D313" s="186"/>
      <c r="E313" s="231"/>
    </row>
    <row r="314" spans="1:5" s="75" customFormat="1" x14ac:dyDescent="0.25">
      <c r="A314" s="193"/>
      <c r="B314" s="229"/>
      <c r="C314" s="186"/>
      <c r="D314" s="186"/>
      <c r="E314" s="231"/>
    </row>
    <row r="315" spans="1:5" s="75" customFormat="1" x14ac:dyDescent="0.25">
      <c r="A315" s="193"/>
      <c r="B315" s="229"/>
      <c r="C315" s="186"/>
      <c r="D315" s="186"/>
      <c r="E315" s="231"/>
    </row>
    <row r="316" spans="1:5" s="75" customFormat="1" x14ac:dyDescent="0.25">
      <c r="A316" s="193"/>
      <c r="B316" s="229"/>
      <c r="C316" s="186"/>
      <c r="D316" s="186"/>
      <c r="E316" s="231"/>
    </row>
    <row r="317" spans="1:5" s="75" customFormat="1" x14ac:dyDescent="0.25">
      <c r="A317" s="193"/>
      <c r="B317" s="229"/>
      <c r="C317" s="186"/>
      <c r="D317" s="186"/>
      <c r="E317" s="231"/>
    </row>
    <row r="318" spans="1:5" s="75" customFormat="1" x14ac:dyDescent="0.25">
      <c r="A318" s="193"/>
      <c r="B318" s="229"/>
      <c r="C318" s="186"/>
      <c r="D318" s="186"/>
      <c r="E318" s="231"/>
    </row>
    <row r="319" spans="1:5" s="75" customFormat="1" x14ac:dyDescent="0.25">
      <c r="A319" s="193"/>
      <c r="B319" s="229"/>
      <c r="C319" s="186"/>
      <c r="D319" s="186"/>
      <c r="E319" s="231"/>
    </row>
    <row r="320" spans="1:5" s="75" customFormat="1" x14ac:dyDescent="0.25">
      <c r="A320" s="193"/>
      <c r="B320" s="229"/>
      <c r="C320" s="186"/>
      <c r="D320" s="186"/>
      <c r="E320" s="231"/>
    </row>
    <row r="321" spans="1:5" s="75" customFormat="1" x14ac:dyDescent="0.25">
      <c r="A321" s="193"/>
      <c r="B321" s="229"/>
      <c r="C321" s="186"/>
      <c r="D321" s="186"/>
      <c r="E321" s="231"/>
    </row>
    <row r="322" spans="1:5" s="75" customFormat="1" x14ac:dyDescent="0.25">
      <c r="A322" s="193"/>
      <c r="B322" s="229"/>
      <c r="C322" s="186"/>
      <c r="D322" s="186"/>
      <c r="E322" s="231"/>
    </row>
    <row r="323" spans="1:5" s="75" customFormat="1" x14ac:dyDescent="0.25">
      <c r="A323" s="193"/>
      <c r="B323" s="229"/>
      <c r="C323" s="186"/>
      <c r="D323" s="186"/>
      <c r="E323" s="231"/>
    </row>
    <row r="324" spans="1:5" s="75" customFormat="1" x14ac:dyDescent="0.25">
      <c r="A324" s="193"/>
      <c r="B324" s="229"/>
      <c r="C324" s="186"/>
      <c r="D324" s="186"/>
      <c r="E324" s="231"/>
    </row>
    <row r="325" spans="1:5" s="75" customFormat="1" x14ac:dyDescent="0.25">
      <c r="A325" s="193"/>
      <c r="B325" s="229"/>
      <c r="C325" s="186"/>
      <c r="D325" s="186"/>
      <c r="E325" s="231"/>
    </row>
    <row r="326" spans="1:5" s="75" customFormat="1" x14ac:dyDescent="0.25">
      <c r="A326" s="193"/>
      <c r="B326" s="229"/>
      <c r="C326" s="186"/>
      <c r="D326" s="186"/>
      <c r="E326" s="231"/>
    </row>
    <row r="327" spans="1:5" s="75" customFormat="1" x14ac:dyDescent="0.25">
      <c r="A327" s="193"/>
      <c r="B327" s="229"/>
      <c r="C327" s="186"/>
      <c r="D327" s="186"/>
      <c r="E327" s="231"/>
    </row>
    <row r="328" spans="1:5" s="75" customFormat="1" x14ac:dyDescent="0.25">
      <c r="A328" s="193"/>
      <c r="B328" s="229"/>
      <c r="C328" s="186"/>
      <c r="D328" s="186"/>
      <c r="E328" s="231"/>
    </row>
    <row r="329" spans="1:5" s="75" customFormat="1" x14ac:dyDescent="0.25">
      <c r="A329" s="193"/>
      <c r="B329" s="229"/>
      <c r="C329" s="186"/>
      <c r="D329" s="186"/>
      <c r="E329" s="231"/>
    </row>
    <row r="330" spans="1:5" s="75" customFormat="1" x14ac:dyDescent="0.25">
      <c r="A330" s="193"/>
      <c r="B330" s="229"/>
      <c r="C330" s="186"/>
      <c r="D330" s="186"/>
      <c r="E330" s="231"/>
    </row>
    <row r="331" spans="1:5" s="75" customFormat="1" x14ac:dyDescent="0.25">
      <c r="A331" s="193"/>
      <c r="B331" s="229"/>
      <c r="C331" s="186"/>
      <c r="D331" s="186"/>
      <c r="E331" s="231"/>
    </row>
    <row r="332" spans="1:5" s="75" customFormat="1" x14ac:dyDescent="0.25">
      <c r="A332" s="193"/>
      <c r="B332" s="229"/>
      <c r="C332" s="186"/>
      <c r="D332" s="186"/>
      <c r="E332" s="231"/>
    </row>
    <row r="333" spans="1:5" s="75" customFormat="1" x14ac:dyDescent="0.25">
      <c r="A333" s="193"/>
      <c r="B333" s="229"/>
      <c r="C333" s="186"/>
      <c r="D333" s="186"/>
      <c r="E333" s="231"/>
    </row>
    <row r="334" spans="1:5" s="75" customFormat="1" x14ac:dyDescent="0.25">
      <c r="A334" s="193"/>
      <c r="B334" s="229"/>
      <c r="C334" s="186"/>
      <c r="D334" s="186"/>
      <c r="E334" s="231"/>
    </row>
    <row r="335" spans="1:5" s="75" customFormat="1" x14ac:dyDescent="0.25">
      <c r="A335" s="193"/>
      <c r="B335" s="229"/>
      <c r="C335" s="186"/>
      <c r="D335" s="186"/>
      <c r="E335" s="231"/>
    </row>
    <row r="336" spans="1:5" s="75" customFormat="1" x14ac:dyDescent="0.25">
      <c r="A336" s="193"/>
      <c r="B336" s="229"/>
      <c r="C336" s="186"/>
      <c r="D336" s="186"/>
      <c r="E336" s="231"/>
    </row>
    <row r="337" spans="1:5" s="75" customFormat="1" x14ac:dyDescent="0.25">
      <c r="A337" s="193"/>
      <c r="B337" s="229"/>
      <c r="C337" s="186"/>
      <c r="D337" s="186"/>
      <c r="E337" s="231"/>
    </row>
    <row r="338" spans="1:5" s="75" customFormat="1" x14ac:dyDescent="0.25">
      <c r="A338" s="193"/>
      <c r="B338" s="229"/>
      <c r="C338" s="186"/>
      <c r="D338" s="186"/>
      <c r="E338" s="231"/>
    </row>
    <row r="339" spans="1:5" s="75" customFormat="1" x14ac:dyDescent="0.25">
      <c r="A339" s="193"/>
      <c r="B339" s="229"/>
      <c r="C339" s="186"/>
      <c r="D339" s="186"/>
      <c r="E339" s="231"/>
    </row>
    <row r="340" spans="1:5" s="75" customFormat="1" x14ac:dyDescent="0.25">
      <c r="A340" s="193"/>
      <c r="B340" s="229"/>
      <c r="C340" s="186"/>
      <c r="D340" s="186"/>
      <c r="E340" s="231"/>
    </row>
    <row r="341" spans="1:5" s="75" customFormat="1" x14ac:dyDescent="0.25">
      <c r="A341" s="193"/>
      <c r="B341" s="229"/>
      <c r="C341" s="186"/>
      <c r="D341" s="186"/>
      <c r="E341" s="231"/>
    </row>
    <row r="342" spans="1:5" s="75" customFormat="1" x14ac:dyDescent="0.25">
      <c r="A342" s="193"/>
      <c r="B342" s="229"/>
      <c r="C342" s="186"/>
      <c r="D342" s="186"/>
      <c r="E342" s="231"/>
    </row>
    <row r="343" spans="1:5" s="75" customFormat="1" x14ac:dyDescent="0.25">
      <c r="A343" s="193"/>
      <c r="B343" s="229"/>
      <c r="C343" s="186"/>
      <c r="D343" s="186"/>
      <c r="E343" s="231"/>
    </row>
    <row r="344" spans="1:5" s="75" customFormat="1" x14ac:dyDescent="0.25">
      <c r="A344" s="193"/>
      <c r="B344" s="229"/>
      <c r="C344" s="186"/>
      <c r="D344" s="186"/>
      <c r="E344" s="231"/>
    </row>
    <row r="345" spans="1:5" s="75" customFormat="1" x14ac:dyDescent="0.25">
      <c r="A345" s="193"/>
      <c r="B345" s="229"/>
      <c r="C345" s="186"/>
      <c r="D345" s="186"/>
      <c r="E345" s="231"/>
    </row>
    <row r="346" spans="1:5" s="75" customFormat="1" x14ac:dyDescent="0.25">
      <c r="A346" s="193"/>
      <c r="B346" s="229"/>
      <c r="C346" s="186"/>
      <c r="D346" s="186"/>
      <c r="E346" s="231"/>
    </row>
    <row r="347" spans="1:5" s="75" customFormat="1" x14ac:dyDescent="0.25">
      <c r="A347" s="193"/>
      <c r="B347" s="229"/>
      <c r="C347" s="186"/>
      <c r="D347" s="186"/>
      <c r="E347" s="231"/>
    </row>
    <row r="348" spans="1:5" s="75" customFormat="1" x14ac:dyDescent="0.25">
      <c r="A348" s="193"/>
      <c r="B348" s="229"/>
      <c r="C348" s="186"/>
      <c r="D348" s="186"/>
      <c r="E348" s="231"/>
    </row>
    <row r="349" spans="1:5" s="75" customFormat="1" x14ac:dyDescent="0.25">
      <c r="A349" s="193"/>
      <c r="B349" s="229"/>
      <c r="C349" s="186"/>
      <c r="D349" s="186"/>
      <c r="E349" s="231"/>
    </row>
    <row r="350" spans="1:5" s="75" customFormat="1" x14ac:dyDescent="0.25">
      <c r="A350" s="193"/>
      <c r="B350" s="229"/>
      <c r="C350" s="186"/>
      <c r="D350" s="186"/>
      <c r="E350" s="231"/>
    </row>
    <row r="351" spans="1:5" s="75" customFormat="1" x14ac:dyDescent="0.25">
      <c r="A351" s="193"/>
      <c r="B351" s="229"/>
      <c r="C351" s="186"/>
      <c r="D351" s="186"/>
      <c r="E351" s="231"/>
    </row>
    <row r="352" spans="1:5" s="75" customFormat="1" x14ac:dyDescent="0.25">
      <c r="A352" s="193"/>
      <c r="B352" s="229"/>
      <c r="C352" s="186"/>
      <c r="D352" s="186"/>
      <c r="E352" s="231"/>
    </row>
    <row r="353" spans="1:5" s="75" customFormat="1" x14ac:dyDescent="0.25">
      <c r="A353" s="193"/>
      <c r="B353" s="229"/>
      <c r="C353" s="186"/>
      <c r="D353" s="186"/>
      <c r="E353" s="231"/>
    </row>
    <row r="354" spans="1:5" s="75" customFormat="1" x14ac:dyDescent="0.25">
      <c r="A354" s="193"/>
      <c r="B354" s="229"/>
      <c r="C354" s="186"/>
      <c r="D354" s="186"/>
      <c r="E354" s="231"/>
    </row>
    <row r="355" spans="1:5" s="75" customFormat="1" x14ac:dyDescent="0.25">
      <c r="A355" s="193"/>
      <c r="B355" s="229"/>
      <c r="C355" s="186"/>
      <c r="D355" s="186"/>
      <c r="E355" s="231"/>
    </row>
    <row r="356" spans="1:5" s="75" customFormat="1" x14ac:dyDescent="0.25">
      <c r="A356" s="193"/>
      <c r="B356" s="229"/>
      <c r="C356" s="186"/>
      <c r="D356" s="186"/>
      <c r="E356" s="231"/>
    </row>
    <row r="357" spans="1:5" s="75" customFormat="1" x14ac:dyDescent="0.25">
      <c r="A357" s="193"/>
      <c r="B357" s="229"/>
      <c r="C357" s="186"/>
      <c r="D357" s="186"/>
      <c r="E357" s="231"/>
    </row>
    <row r="358" spans="1:5" s="75" customFormat="1" x14ac:dyDescent="0.25">
      <c r="A358" s="193"/>
      <c r="B358" s="229"/>
      <c r="C358" s="186"/>
      <c r="D358" s="186"/>
      <c r="E358" s="231"/>
    </row>
    <row r="359" spans="1:5" s="75" customFormat="1" x14ac:dyDescent="0.25">
      <c r="A359" s="193"/>
      <c r="B359" s="229"/>
      <c r="C359" s="186"/>
      <c r="D359" s="186"/>
      <c r="E359" s="231"/>
    </row>
    <row r="360" spans="1:5" s="75" customFormat="1" x14ac:dyDescent="0.25">
      <c r="A360" s="193"/>
      <c r="B360" s="229"/>
      <c r="C360" s="186"/>
      <c r="D360" s="186"/>
      <c r="E360" s="231"/>
    </row>
    <row r="361" spans="1:5" s="75" customFormat="1" x14ac:dyDescent="0.25">
      <c r="A361" s="193"/>
      <c r="B361" s="229"/>
      <c r="C361" s="186"/>
      <c r="D361" s="186"/>
      <c r="E361" s="231"/>
    </row>
    <row r="362" spans="1:5" s="75" customFormat="1" x14ac:dyDescent="0.25">
      <c r="A362" s="193"/>
      <c r="B362" s="229"/>
      <c r="C362" s="186"/>
      <c r="D362" s="186"/>
      <c r="E362" s="231"/>
    </row>
    <row r="363" spans="1:5" s="75" customFormat="1" x14ac:dyDescent="0.25">
      <c r="A363" s="193"/>
      <c r="B363" s="229"/>
      <c r="C363" s="186"/>
      <c r="D363" s="186"/>
      <c r="E363" s="231"/>
    </row>
    <row r="364" spans="1:5" s="75" customFormat="1" x14ac:dyDescent="0.25">
      <c r="A364" s="193"/>
      <c r="B364" s="229"/>
      <c r="C364" s="186"/>
      <c r="D364" s="186"/>
      <c r="E364" s="231"/>
    </row>
    <row r="365" spans="1:5" s="75" customFormat="1" x14ac:dyDescent="0.25">
      <c r="A365" s="193"/>
      <c r="B365" s="229"/>
      <c r="C365" s="186"/>
      <c r="D365" s="186"/>
      <c r="E365" s="231"/>
    </row>
    <row r="366" spans="1:5" s="75" customFormat="1" x14ac:dyDescent="0.25">
      <c r="A366" s="193"/>
      <c r="B366" s="229"/>
      <c r="C366" s="186"/>
      <c r="D366" s="186"/>
      <c r="E366" s="231"/>
    </row>
    <row r="367" spans="1:5" s="75" customFormat="1" x14ac:dyDescent="0.25">
      <c r="A367" s="193"/>
      <c r="B367" s="229"/>
      <c r="C367" s="186"/>
      <c r="D367" s="186"/>
      <c r="E367" s="231"/>
    </row>
    <row r="368" spans="1:5" s="75" customFormat="1" x14ac:dyDescent="0.25">
      <c r="A368" s="193"/>
      <c r="B368" s="229"/>
      <c r="C368" s="186"/>
      <c r="D368" s="186"/>
      <c r="E368" s="231"/>
    </row>
    <row r="369" spans="1:5" s="75" customFormat="1" x14ac:dyDescent="0.25">
      <c r="A369" s="193"/>
      <c r="B369" s="229"/>
      <c r="C369" s="186"/>
      <c r="D369" s="186"/>
      <c r="E369" s="231"/>
    </row>
    <row r="370" spans="1:5" s="75" customFormat="1" x14ac:dyDescent="0.25">
      <c r="A370" s="193"/>
      <c r="B370" s="229"/>
      <c r="C370" s="186"/>
      <c r="D370" s="186"/>
      <c r="E370" s="231"/>
    </row>
    <row r="371" spans="1:5" s="75" customFormat="1" x14ac:dyDescent="0.25">
      <c r="A371" s="193"/>
      <c r="B371" s="229"/>
      <c r="C371" s="186"/>
      <c r="D371" s="186"/>
      <c r="E371" s="231"/>
    </row>
    <row r="372" spans="1:5" s="75" customFormat="1" x14ac:dyDescent="0.25">
      <c r="A372" s="193"/>
      <c r="B372" s="229"/>
      <c r="C372" s="186"/>
      <c r="D372" s="186"/>
      <c r="E372" s="231"/>
    </row>
    <row r="373" spans="1:5" s="75" customFormat="1" x14ac:dyDescent="0.25">
      <c r="A373" s="193"/>
      <c r="B373" s="229"/>
      <c r="C373" s="186"/>
      <c r="D373" s="186"/>
      <c r="E373" s="231"/>
    </row>
    <row r="374" spans="1:5" s="75" customFormat="1" x14ac:dyDescent="0.25">
      <c r="A374" s="193"/>
      <c r="B374" s="229"/>
      <c r="C374" s="186"/>
      <c r="D374" s="186"/>
      <c r="E374" s="231"/>
    </row>
    <row r="375" spans="1:5" s="75" customFormat="1" x14ac:dyDescent="0.25">
      <c r="A375" s="193"/>
      <c r="B375" s="229"/>
      <c r="C375" s="186"/>
      <c r="D375" s="186"/>
      <c r="E375" s="231"/>
    </row>
    <row r="376" spans="1:5" s="75" customFormat="1" x14ac:dyDescent="0.25">
      <c r="A376" s="193"/>
      <c r="B376" s="229"/>
      <c r="C376" s="186"/>
      <c r="D376" s="186"/>
      <c r="E376" s="231"/>
    </row>
    <row r="377" spans="1:5" s="75" customFormat="1" x14ac:dyDescent="0.25">
      <c r="A377" s="193"/>
      <c r="B377" s="229"/>
      <c r="C377" s="186"/>
      <c r="D377" s="186"/>
      <c r="E377" s="231"/>
    </row>
    <row r="378" spans="1:5" s="75" customFormat="1" x14ac:dyDescent="0.25">
      <c r="A378" s="193"/>
      <c r="B378" s="229"/>
      <c r="C378" s="186"/>
      <c r="D378" s="186"/>
      <c r="E378" s="231"/>
    </row>
    <row r="379" spans="1:5" s="75" customFormat="1" x14ac:dyDescent="0.25">
      <c r="A379" s="193"/>
      <c r="B379" s="229"/>
      <c r="C379" s="186"/>
      <c r="D379" s="186"/>
      <c r="E379" s="231"/>
    </row>
    <row r="380" spans="1:5" s="75" customFormat="1" x14ac:dyDescent="0.25">
      <c r="A380" s="193"/>
      <c r="B380" s="229"/>
      <c r="C380" s="186"/>
      <c r="D380" s="186"/>
      <c r="E380" s="231"/>
    </row>
    <row r="381" spans="1:5" s="75" customFormat="1" x14ac:dyDescent="0.25">
      <c r="A381" s="193"/>
      <c r="B381" s="229"/>
      <c r="C381" s="186"/>
      <c r="D381" s="186"/>
      <c r="E381" s="231"/>
    </row>
    <row r="382" spans="1:5" s="75" customFormat="1" x14ac:dyDescent="0.25">
      <c r="A382" s="193"/>
      <c r="B382" s="229"/>
      <c r="C382" s="186"/>
      <c r="D382" s="186"/>
      <c r="E382" s="231"/>
    </row>
    <row r="383" spans="1:5" s="75" customFormat="1" x14ac:dyDescent="0.25">
      <c r="A383" s="193"/>
      <c r="B383" s="229"/>
      <c r="C383" s="186"/>
      <c r="D383" s="186"/>
      <c r="E383" s="231"/>
    </row>
    <row r="384" spans="1:5" s="75" customFormat="1" x14ac:dyDescent="0.25">
      <c r="A384" s="193"/>
      <c r="B384" s="229"/>
      <c r="C384" s="186"/>
      <c r="D384" s="186"/>
      <c r="E384" s="231"/>
    </row>
    <row r="385" spans="1:5" s="75" customFormat="1" x14ac:dyDescent="0.25">
      <c r="A385" s="193"/>
      <c r="B385" s="229"/>
      <c r="C385" s="186"/>
      <c r="D385" s="186"/>
      <c r="E385" s="231"/>
    </row>
    <row r="386" spans="1:5" s="75" customFormat="1" x14ac:dyDescent="0.25">
      <c r="A386" s="193"/>
      <c r="B386" s="229"/>
      <c r="C386" s="186"/>
      <c r="D386" s="186"/>
      <c r="E386" s="231"/>
    </row>
    <row r="387" spans="1:5" s="75" customFormat="1" x14ac:dyDescent="0.25">
      <c r="A387" s="193"/>
      <c r="B387" s="229"/>
      <c r="C387" s="186"/>
      <c r="D387" s="186"/>
      <c r="E387" s="231"/>
    </row>
    <row r="388" spans="1:5" s="75" customFormat="1" x14ac:dyDescent="0.25">
      <c r="A388" s="193"/>
      <c r="B388" s="229"/>
      <c r="C388" s="186"/>
      <c r="D388" s="186"/>
      <c r="E388" s="231"/>
    </row>
    <row r="389" spans="1:5" s="75" customFormat="1" x14ac:dyDescent="0.25">
      <c r="A389" s="193"/>
      <c r="B389" s="229"/>
      <c r="C389" s="186"/>
      <c r="D389" s="186"/>
      <c r="E389" s="231"/>
    </row>
    <row r="390" spans="1:5" s="75" customFormat="1" x14ac:dyDescent="0.25">
      <c r="A390" s="193"/>
      <c r="B390" s="229"/>
      <c r="C390" s="186"/>
      <c r="D390" s="186"/>
      <c r="E390" s="231"/>
    </row>
    <row r="391" spans="1:5" s="75" customFormat="1" x14ac:dyDescent="0.25">
      <c r="A391" s="193"/>
      <c r="B391" s="229"/>
      <c r="C391" s="186"/>
      <c r="D391" s="186"/>
      <c r="E391" s="231"/>
    </row>
    <row r="392" spans="1:5" s="75" customFormat="1" x14ac:dyDescent="0.25">
      <c r="A392" s="193"/>
      <c r="B392" s="229"/>
      <c r="C392" s="186"/>
      <c r="D392" s="186"/>
      <c r="E392" s="231"/>
    </row>
    <row r="393" spans="1:5" s="75" customFormat="1" x14ac:dyDescent="0.25">
      <c r="A393" s="193"/>
      <c r="B393" s="229"/>
      <c r="C393" s="186"/>
      <c r="D393" s="186"/>
      <c r="E393" s="231"/>
    </row>
    <row r="394" spans="1:5" s="75" customFormat="1" x14ac:dyDescent="0.25">
      <c r="A394" s="193"/>
      <c r="B394" s="229"/>
      <c r="C394" s="186"/>
      <c r="D394" s="186"/>
      <c r="E394" s="231"/>
    </row>
    <row r="395" spans="1:5" s="75" customFormat="1" x14ac:dyDescent="0.25">
      <c r="A395" s="193"/>
      <c r="B395" s="229"/>
      <c r="C395" s="186"/>
      <c r="D395" s="186"/>
      <c r="E395" s="231"/>
    </row>
    <row r="396" spans="1:5" s="75" customFormat="1" x14ac:dyDescent="0.25">
      <c r="A396" s="193"/>
      <c r="B396" s="229"/>
      <c r="C396" s="186"/>
      <c r="D396" s="186"/>
      <c r="E396" s="231"/>
    </row>
    <row r="397" spans="1:5" s="75" customFormat="1" x14ac:dyDescent="0.25">
      <c r="A397" s="193"/>
      <c r="B397" s="229"/>
      <c r="C397" s="186"/>
      <c r="D397" s="186"/>
      <c r="E397" s="231"/>
    </row>
    <row r="398" spans="1:5" s="75" customFormat="1" x14ac:dyDescent="0.25">
      <c r="A398" s="193"/>
      <c r="B398" s="229"/>
      <c r="C398" s="186"/>
      <c r="D398" s="186"/>
      <c r="E398" s="231"/>
    </row>
    <row r="399" spans="1:5" s="75" customFormat="1" x14ac:dyDescent="0.25">
      <c r="A399" s="193"/>
      <c r="B399" s="229"/>
      <c r="C399" s="186"/>
      <c r="D399" s="186"/>
      <c r="E399" s="231"/>
    </row>
    <row r="400" spans="1:5" s="75" customFormat="1" x14ac:dyDescent="0.25">
      <c r="A400" s="193"/>
      <c r="B400" s="229"/>
      <c r="C400" s="186"/>
      <c r="D400" s="186"/>
      <c r="E400" s="231"/>
    </row>
    <row r="401" spans="1:5" s="75" customFormat="1" x14ac:dyDescent="0.25">
      <c r="A401" s="193"/>
      <c r="B401" s="229"/>
      <c r="C401" s="186"/>
      <c r="D401" s="186"/>
      <c r="E401" s="231"/>
    </row>
    <row r="402" spans="1:5" s="75" customFormat="1" x14ac:dyDescent="0.25">
      <c r="A402" s="193"/>
      <c r="B402" s="229"/>
      <c r="C402" s="186"/>
      <c r="D402" s="186"/>
      <c r="E402" s="231"/>
    </row>
    <row r="403" spans="1:5" s="75" customFormat="1" x14ac:dyDescent="0.25">
      <c r="A403" s="193"/>
      <c r="B403" s="229"/>
      <c r="C403" s="186"/>
      <c r="D403" s="186"/>
      <c r="E403" s="231"/>
    </row>
    <row r="404" spans="1:5" s="75" customFormat="1" x14ac:dyDescent="0.25">
      <c r="A404" s="193"/>
      <c r="B404" s="229"/>
      <c r="C404" s="186"/>
      <c r="D404" s="186"/>
      <c r="E404" s="231"/>
    </row>
    <row r="405" spans="1:5" s="75" customFormat="1" x14ac:dyDescent="0.25">
      <c r="A405" s="193"/>
      <c r="B405" s="229"/>
      <c r="C405" s="186"/>
      <c r="D405" s="186"/>
      <c r="E405" s="231"/>
    </row>
    <row r="406" spans="1:5" s="75" customFormat="1" x14ac:dyDescent="0.25">
      <c r="A406" s="193"/>
      <c r="B406" s="229"/>
      <c r="C406" s="186"/>
      <c r="D406" s="186"/>
      <c r="E406" s="231"/>
    </row>
    <row r="407" spans="1:5" s="75" customFormat="1" x14ac:dyDescent="0.25">
      <c r="A407" s="193"/>
      <c r="B407" s="229"/>
      <c r="C407" s="186"/>
      <c r="D407" s="186"/>
      <c r="E407" s="231"/>
    </row>
    <row r="408" spans="1:5" s="75" customFormat="1" x14ac:dyDescent="0.25">
      <c r="A408" s="193"/>
      <c r="B408" s="229"/>
      <c r="C408" s="186"/>
      <c r="D408" s="186"/>
      <c r="E408" s="231"/>
    </row>
    <row r="409" spans="1:5" s="75" customFormat="1" x14ac:dyDescent="0.25">
      <c r="A409" s="193"/>
      <c r="B409" s="229"/>
      <c r="C409" s="186"/>
      <c r="D409" s="186"/>
      <c r="E409" s="231"/>
    </row>
    <row r="410" spans="1:5" s="75" customFormat="1" x14ac:dyDescent="0.25">
      <c r="A410" s="193"/>
      <c r="B410" s="229"/>
      <c r="C410" s="186"/>
      <c r="D410" s="186"/>
      <c r="E410" s="231"/>
    </row>
    <row r="411" spans="1:5" s="75" customFormat="1" x14ac:dyDescent="0.25">
      <c r="A411" s="193"/>
      <c r="B411" s="229"/>
      <c r="C411" s="186"/>
      <c r="D411" s="186"/>
      <c r="E411" s="231"/>
    </row>
    <row r="412" spans="1:5" s="75" customFormat="1" x14ac:dyDescent="0.25">
      <c r="A412" s="193"/>
      <c r="B412" s="229"/>
      <c r="C412" s="186"/>
      <c r="D412" s="186"/>
      <c r="E412" s="231"/>
    </row>
    <row r="413" spans="1:5" s="75" customFormat="1" x14ac:dyDescent="0.25">
      <c r="A413" s="193"/>
      <c r="B413" s="229"/>
      <c r="C413" s="186"/>
      <c r="D413" s="186"/>
      <c r="E413" s="231"/>
    </row>
    <row r="414" spans="1:5" s="75" customFormat="1" x14ac:dyDescent="0.25">
      <c r="A414" s="193"/>
      <c r="B414" s="229"/>
      <c r="C414" s="186"/>
      <c r="D414" s="186"/>
      <c r="E414" s="231"/>
    </row>
    <row r="415" spans="1:5" s="75" customFormat="1" x14ac:dyDescent="0.25">
      <c r="A415" s="193"/>
      <c r="B415" s="229"/>
      <c r="C415" s="186"/>
      <c r="D415" s="186"/>
      <c r="E415" s="231"/>
    </row>
    <row r="416" spans="1:5" s="75" customFormat="1" x14ac:dyDescent="0.25">
      <c r="A416" s="193"/>
      <c r="B416" s="229"/>
      <c r="C416" s="186"/>
      <c r="D416" s="186"/>
      <c r="E416" s="231"/>
    </row>
    <row r="417" spans="1:5" s="75" customFormat="1" x14ac:dyDescent="0.25">
      <c r="A417" s="193"/>
      <c r="B417" s="229"/>
      <c r="C417" s="186"/>
      <c r="D417" s="186"/>
      <c r="E417" s="231"/>
    </row>
    <row r="418" spans="1:5" s="75" customFormat="1" x14ac:dyDescent="0.25">
      <c r="A418" s="193"/>
      <c r="B418" s="229"/>
      <c r="C418" s="186"/>
      <c r="D418" s="186"/>
      <c r="E418" s="231"/>
    </row>
    <row r="419" spans="1:5" s="75" customFormat="1" x14ac:dyDescent="0.25">
      <c r="A419" s="193"/>
      <c r="B419" s="229"/>
      <c r="C419" s="186"/>
      <c r="D419" s="186"/>
      <c r="E419" s="231"/>
    </row>
    <row r="420" spans="1:5" s="75" customFormat="1" x14ac:dyDescent="0.25">
      <c r="A420" s="193"/>
      <c r="B420" s="229"/>
      <c r="C420" s="186"/>
      <c r="D420" s="186"/>
      <c r="E420" s="231"/>
    </row>
    <row r="421" spans="1:5" s="75" customFormat="1" x14ac:dyDescent="0.25">
      <c r="A421" s="193"/>
      <c r="B421" s="229"/>
      <c r="C421" s="186"/>
      <c r="D421" s="186"/>
      <c r="E421" s="231"/>
    </row>
    <row r="422" spans="1:5" s="75" customFormat="1" x14ac:dyDescent="0.25">
      <c r="A422" s="193"/>
      <c r="B422" s="229"/>
      <c r="C422" s="186"/>
      <c r="D422" s="186"/>
      <c r="E422" s="231"/>
    </row>
    <row r="423" spans="1:5" s="75" customFormat="1" x14ac:dyDescent="0.25">
      <c r="A423" s="193"/>
      <c r="B423" s="229"/>
      <c r="C423" s="186"/>
      <c r="D423" s="186"/>
      <c r="E423" s="231"/>
    </row>
    <row r="424" spans="1:5" s="75" customFormat="1" x14ac:dyDescent="0.25">
      <c r="A424" s="193"/>
      <c r="B424" s="229"/>
      <c r="C424" s="186"/>
      <c r="D424" s="186"/>
      <c r="E424" s="231"/>
    </row>
    <row r="425" spans="1:5" s="75" customFormat="1" x14ac:dyDescent="0.25">
      <c r="A425" s="193"/>
      <c r="B425" s="229"/>
      <c r="C425" s="186"/>
      <c r="D425" s="186"/>
      <c r="E425" s="231"/>
    </row>
    <row r="426" spans="1:5" s="75" customFormat="1" x14ac:dyDescent="0.25">
      <c r="A426" s="193"/>
      <c r="B426" s="229"/>
      <c r="C426" s="186"/>
      <c r="D426" s="186"/>
      <c r="E426" s="231"/>
    </row>
    <row r="427" spans="1:5" s="75" customFormat="1" x14ac:dyDescent="0.25">
      <c r="A427" s="193"/>
      <c r="B427" s="229"/>
      <c r="C427" s="186"/>
      <c r="D427" s="186"/>
      <c r="E427" s="231"/>
    </row>
    <row r="428" spans="1:5" s="75" customFormat="1" x14ac:dyDescent="0.25">
      <c r="A428" s="193"/>
      <c r="B428" s="229"/>
      <c r="C428" s="186"/>
      <c r="D428" s="186"/>
      <c r="E428" s="231"/>
    </row>
    <row r="429" spans="1:5" s="75" customFormat="1" x14ac:dyDescent="0.25">
      <c r="A429" s="193"/>
      <c r="B429" s="229"/>
      <c r="C429" s="186"/>
      <c r="D429" s="186"/>
      <c r="E429" s="231"/>
    </row>
    <row r="430" spans="1:5" s="75" customFormat="1" x14ac:dyDescent="0.25">
      <c r="A430" s="193"/>
      <c r="B430" s="229"/>
      <c r="C430" s="186"/>
      <c r="D430" s="186"/>
      <c r="E430" s="231"/>
    </row>
    <row r="431" spans="1:5" s="75" customFormat="1" x14ac:dyDescent="0.25">
      <c r="A431" s="193"/>
      <c r="B431" s="229"/>
      <c r="C431" s="186"/>
      <c r="D431" s="186"/>
      <c r="E431" s="231"/>
    </row>
    <row r="432" spans="1:5" s="75" customFormat="1" x14ac:dyDescent="0.25">
      <c r="A432" s="193"/>
      <c r="B432" s="229"/>
      <c r="C432" s="186"/>
      <c r="D432" s="186"/>
      <c r="E432" s="231"/>
    </row>
    <row r="433" spans="1:5" s="75" customFormat="1" x14ac:dyDescent="0.25">
      <c r="A433" s="193"/>
      <c r="B433" s="229"/>
      <c r="C433" s="186"/>
      <c r="D433" s="186"/>
      <c r="E433" s="231"/>
    </row>
    <row r="434" spans="1:5" s="75" customFormat="1" x14ac:dyDescent="0.25">
      <c r="A434" s="193"/>
      <c r="B434" s="229"/>
      <c r="C434" s="186"/>
      <c r="D434" s="186"/>
      <c r="E434" s="231"/>
    </row>
    <row r="435" spans="1:5" s="75" customFormat="1" x14ac:dyDescent="0.25">
      <c r="A435" s="193"/>
      <c r="B435" s="229"/>
      <c r="C435" s="186"/>
      <c r="D435" s="186"/>
      <c r="E435" s="231"/>
    </row>
    <row r="436" spans="1:5" s="75" customFormat="1" x14ac:dyDescent="0.25">
      <c r="A436" s="193"/>
      <c r="B436" s="229"/>
      <c r="C436" s="186"/>
      <c r="D436" s="186"/>
      <c r="E436" s="231"/>
    </row>
    <row r="437" spans="1:5" s="75" customFormat="1" x14ac:dyDescent="0.25">
      <c r="A437" s="193"/>
      <c r="B437" s="229"/>
      <c r="C437" s="186"/>
      <c r="D437" s="186"/>
      <c r="E437" s="231"/>
    </row>
    <row r="438" spans="1:5" s="75" customFormat="1" x14ac:dyDescent="0.25">
      <c r="A438" s="193"/>
      <c r="B438" s="229"/>
      <c r="C438" s="186"/>
      <c r="D438" s="186"/>
      <c r="E438" s="231"/>
    </row>
    <row r="439" spans="1:5" s="75" customFormat="1" x14ac:dyDescent="0.25">
      <c r="A439" s="193"/>
      <c r="B439" s="229"/>
      <c r="C439" s="186"/>
      <c r="D439" s="186"/>
      <c r="E439" s="231"/>
    </row>
    <row r="440" spans="1:5" s="75" customFormat="1" x14ac:dyDescent="0.25">
      <c r="A440" s="193"/>
      <c r="B440" s="229"/>
      <c r="C440" s="186"/>
      <c r="D440" s="186"/>
      <c r="E440" s="231"/>
    </row>
    <row r="441" spans="1:5" s="75" customFormat="1" x14ac:dyDescent="0.25">
      <c r="A441" s="193"/>
      <c r="B441" s="229"/>
      <c r="C441" s="186"/>
      <c r="D441" s="186"/>
      <c r="E441" s="231"/>
    </row>
    <row r="442" spans="1:5" s="75" customFormat="1" x14ac:dyDescent="0.25">
      <c r="A442" s="193"/>
      <c r="B442" s="229"/>
      <c r="C442" s="186"/>
      <c r="D442" s="186"/>
      <c r="E442" s="231"/>
    </row>
    <row r="443" spans="1:5" s="75" customFormat="1" x14ac:dyDescent="0.25">
      <c r="A443" s="193"/>
      <c r="B443" s="229"/>
      <c r="C443" s="186"/>
      <c r="D443" s="186"/>
      <c r="E443" s="231"/>
    </row>
    <row r="444" spans="1:5" s="75" customFormat="1" x14ac:dyDescent="0.25">
      <c r="A444" s="193"/>
      <c r="B444" s="229"/>
      <c r="C444" s="186"/>
      <c r="D444" s="186"/>
      <c r="E444" s="231"/>
    </row>
    <row r="445" spans="1:5" s="75" customFormat="1" x14ac:dyDescent="0.25">
      <c r="A445" s="193"/>
      <c r="B445" s="229"/>
      <c r="C445" s="186"/>
      <c r="D445" s="186"/>
      <c r="E445" s="231"/>
    </row>
    <row r="446" spans="1:5" s="75" customFormat="1" x14ac:dyDescent="0.25">
      <c r="A446" s="193"/>
      <c r="B446" s="229"/>
      <c r="C446" s="186"/>
      <c r="D446" s="186"/>
      <c r="E446" s="231"/>
    </row>
    <row r="447" spans="1:5" s="75" customFormat="1" x14ac:dyDescent="0.25">
      <c r="A447" s="193"/>
      <c r="B447" s="229"/>
      <c r="C447" s="186"/>
      <c r="D447" s="186"/>
      <c r="E447" s="231"/>
    </row>
    <row r="448" spans="1:5" s="75" customFormat="1" x14ac:dyDescent="0.25">
      <c r="A448" s="193"/>
      <c r="B448" s="229"/>
      <c r="C448" s="186"/>
      <c r="D448" s="186"/>
      <c r="E448" s="231"/>
    </row>
    <row r="449" spans="1:5" s="75" customFormat="1" x14ac:dyDescent="0.25">
      <c r="A449" s="193"/>
      <c r="B449" s="229"/>
      <c r="C449" s="186"/>
      <c r="D449" s="186"/>
      <c r="E449" s="231"/>
    </row>
    <row r="450" spans="1:5" s="75" customFormat="1" x14ac:dyDescent="0.25">
      <c r="A450" s="193"/>
      <c r="B450" s="229"/>
      <c r="C450" s="186"/>
      <c r="D450" s="186"/>
      <c r="E450" s="231"/>
    </row>
    <row r="451" spans="1:5" s="75" customFormat="1" x14ac:dyDescent="0.25">
      <c r="A451" s="193"/>
      <c r="B451" s="229"/>
      <c r="C451" s="186"/>
      <c r="D451" s="186"/>
      <c r="E451" s="231"/>
    </row>
    <row r="452" spans="1:5" s="75" customFormat="1" x14ac:dyDescent="0.25">
      <c r="A452" s="193"/>
      <c r="B452" s="229"/>
      <c r="C452" s="186"/>
      <c r="D452" s="186"/>
      <c r="E452" s="231"/>
    </row>
    <row r="453" spans="1:5" s="75" customFormat="1" x14ac:dyDescent="0.25">
      <c r="A453" s="193"/>
      <c r="B453" s="229"/>
      <c r="C453" s="186"/>
      <c r="D453" s="186"/>
      <c r="E453" s="231"/>
    </row>
    <row r="454" spans="1:5" s="75" customFormat="1" x14ac:dyDescent="0.25">
      <c r="A454" s="193"/>
      <c r="B454" s="229"/>
      <c r="C454" s="186"/>
      <c r="D454" s="186"/>
      <c r="E454" s="231"/>
    </row>
    <row r="455" spans="1:5" s="75" customFormat="1" x14ac:dyDescent="0.25">
      <c r="A455" s="193"/>
      <c r="B455" s="229"/>
      <c r="C455" s="186"/>
      <c r="D455" s="186"/>
      <c r="E455" s="231"/>
    </row>
    <row r="456" spans="1:5" s="75" customFormat="1" x14ac:dyDescent="0.25">
      <c r="A456" s="193"/>
      <c r="B456" s="229"/>
      <c r="C456" s="186"/>
      <c r="D456" s="186"/>
      <c r="E456" s="231"/>
    </row>
    <row r="457" spans="1:5" s="75" customFormat="1" x14ac:dyDescent="0.25">
      <c r="A457" s="193"/>
      <c r="B457" s="229"/>
      <c r="C457" s="186"/>
      <c r="D457" s="186"/>
      <c r="E457" s="231"/>
    </row>
    <row r="458" spans="1:5" s="75" customFormat="1" x14ac:dyDescent="0.25">
      <c r="A458" s="193"/>
      <c r="B458" s="229"/>
      <c r="C458" s="186"/>
      <c r="D458" s="186"/>
      <c r="E458" s="231"/>
    </row>
    <row r="459" spans="1:5" s="75" customFormat="1" x14ac:dyDescent="0.25">
      <c r="A459" s="193"/>
      <c r="B459" s="229"/>
      <c r="C459" s="186"/>
      <c r="D459" s="186"/>
      <c r="E459" s="231"/>
    </row>
    <row r="460" spans="1:5" s="75" customFormat="1" x14ac:dyDescent="0.25">
      <c r="A460" s="193"/>
      <c r="B460" s="229"/>
      <c r="C460" s="186"/>
      <c r="D460" s="186"/>
      <c r="E460" s="231"/>
    </row>
    <row r="461" spans="1:5" s="75" customFormat="1" x14ac:dyDescent="0.25">
      <c r="A461" s="193"/>
      <c r="B461" s="229"/>
      <c r="C461" s="186"/>
      <c r="D461" s="186"/>
      <c r="E461" s="231"/>
    </row>
    <row r="462" spans="1:5" s="75" customFormat="1" x14ac:dyDescent="0.25">
      <c r="A462" s="193"/>
      <c r="B462" s="229"/>
      <c r="C462" s="186"/>
      <c r="D462" s="186"/>
      <c r="E462" s="231"/>
    </row>
    <row r="463" spans="1:5" s="75" customFormat="1" x14ac:dyDescent="0.25">
      <c r="A463" s="193"/>
      <c r="B463" s="229"/>
      <c r="C463" s="186"/>
      <c r="D463" s="186"/>
      <c r="E463" s="231"/>
    </row>
    <row r="464" spans="1:5" s="75" customFormat="1" x14ac:dyDescent="0.25">
      <c r="A464" s="193"/>
      <c r="B464" s="229"/>
      <c r="C464" s="186"/>
      <c r="D464" s="186"/>
      <c r="E464" s="231"/>
    </row>
    <row r="465" spans="1:5" s="75" customFormat="1" x14ac:dyDescent="0.25">
      <c r="A465" s="193"/>
      <c r="B465" s="229"/>
      <c r="C465" s="186"/>
      <c r="D465" s="186"/>
      <c r="E465" s="231"/>
    </row>
    <row r="466" spans="1:5" s="75" customFormat="1" x14ac:dyDescent="0.25">
      <c r="A466" s="193"/>
      <c r="B466" s="229"/>
      <c r="C466" s="186"/>
      <c r="D466" s="186"/>
      <c r="E466" s="231"/>
    </row>
    <row r="467" spans="1:5" s="75" customFormat="1" x14ac:dyDescent="0.25">
      <c r="A467" s="193"/>
      <c r="B467" s="229"/>
      <c r="C467" s="186"/>
      <c r="D467" s="186"/>
      <c r="E467" s="231"/>
    </row>
    <row r="468" spans="1:5" s="75" customFormat="1" x14ac:dyDescent="0.25">
      <c r="A468" s="193"/>
      <c r="B468" s="229"/>
      <c r="C468" s="186"/>
      <c r="D468" s="186"/>
      <c r="E468" s="231"/>
    </row>
    <row r="469" spans="1:5" s="75" customFormat="1" x14ac:dyDescent="0.25">
      <c r="A469" s="193"/>
      <c r="B469" s="229"/>
      <c r="C469" s="186"/>
      <c r="D469" s="186"/>
      <c r="E469" s="231"/>
    </row>
    <row r="470" spans="1:5" s="75" customFormat="1" x14ac:dyDescent="0.25">
      <c r="A470" s="193"/>
      <c r="B470" s="229"/>
      <c r="C470" s="186"/>
      <c r="D470" s="186"/>
      <c r="E470" s="231"/>
    </row>
    <row r="471" spans="1:5" s="75" customFormat="1" x14ac:dyDescent="0.25">
      <c r="A471" s="193"/>
      <c r="B471" s="229"/>
      <c r="C471" s="186"/>
      <c r="D471" s="186"/>
      <c r="E471" s="231"/>
    </row>
    <row r="472" spans="1:5" s="75" customFormat="1" x14ac:dyDescent="0.25">
      <c r="A472" s="193"/>
      <c r="B472" s="229"/>
      <c r="C472" s="186"/>
      <c r="D472" s="186"/>
      <c r="E472" s="231"/>
    </row>
    <row r="473" spans="1:5" s="75" customFormat="1" x14ac:dyDescent="0.25">
      <c r="A473" s="193"/>
      <c r="B473" s="229"/>
      <c r="C473" s="186"/>
      <c r="D473" s="186"/>
      <c r="E473" s="231"/>
    </row>
    <row r="474" spans="1:5" s="75" customFormat="1" x14ac:dyDescent="0.25">
      <c r="A474" s="193"/>
      <c r="B474" s="229"/>
      <c r="C474" s="186"/>
      <c r="D474" s="186"/>
      <c r="E474" s="231"/>
    </row>
    <row r="475" spans="1:5" s="75" customFormat="1" x14ac:dyDescent="0.25">
      <c r="A475" s="193"/>
      <c r="B475" s="229"/>
      <c r="C475" s="186"/>
      <c r="D475" s="186"/>
      <c r="E475" s="231"/>
    </row>
    <row r="476" spans="1:5" s="75" customFormat="1" x14ac:dyDescent="0.25">
      <c r="A476" s="193"/>
      <c r="B476" s="229"/>
      <c r="C476" s="186"/>
      <c r="D476" s="186"/>
      <c r="E476" s="231"/>
    </row>
    <row r="477" spans="1:5" s="75" customFormat="1" x14ac:dyDescent="0.25">
      <c r="A477" s="193"/>
      <c r="B477" s="229"/>
      <c r="C477" s="186"/>
      <c r="D477" s="186"/>
      <c r="E477" s="231"/>
    </row>
    <row r="478" spans="1:5" s="75" customFormat="1" x14ac:dyDescent="0.25">
      <c r="A478" s="193"/>
      <c r="B478" s="229"/>
      <c r="C478" s="186"/>
      <c r="D478" s="186"/>
      <c r="E478" s="231"/>
    </row>
    <row r="479" spans="1:5" s="75" customFormat="1" x14ac:dyDescent="0.25">
      <c r="A479" s="193"/>
      <c r="B479" s="229"/>
      <c r="C479" s="186"/>
      <c r="D479" s="186"/>
      <c r="E479" s="231"/>
    </row>
    <row r="480" spans="1:5" s="75" customFormat="1" x14ac:dyDescent="0.25">
      <c r="A480" s="193"/>
      <c r="B480" s="229"/>
      <c r="C480" s="186"/>
      <c r="D480" s="186"/>
      <c r="E480" s="231"/>
    </row>
    <row r="481" spans="1:5" s="75" customFormat="1" x14ac:dyDescent="0.25">
      <c r="A481" s="193"/>
      <c r="B481" s="229"/>
      <c r="C481" s="186"/>
      <c r="D481" s="186"/>
      <c r="E481" s="231"/>
    </row>
    <row r="482" spans="1:5" s="75" customFormat="1" x14ac:dyDescent="0.25">
      <c r="A482" s="193"/>
      <c r="B482" s="229"/>
      <c r="C482" s="186"/>
      <c r="D482" s="186"/>
      <c r="E482" s="231"/>
    </row>
    <row r="483" spans="1:5" s="75" customFormat="1" x14ac:dyDescent="0.25">
      <c r="A483" s="193"/>
      <c r="B483" s="229"/>
      <c r="C483" s="186"/>
      <c r="D483" s="186"/>
      <c r="E483" s="231"/>
    </row>
    <row r="484" spans="1:5" s="75" customFormat="1" x14ac:dyDescent="0.25">
      <c r="A484" s="193"/>
      <c r="B484" s="229"/>
      <c r="C484" s="186"/>
      <c r="D484" s="186"/>
      <c r="E484" s="231"/>
    </row>
    <row r="485" spans="1:5" s="75" customFormat="1" x14ac:dyDescent="0.25">
      <c r="A485" s="193"/>
      <c r="B485" s="229"/>
      <c r="C485" s="186"/>
      <c r="D485" s="186"/>
      <c r="E485" s="231"/>
    </row>
    <row r="486" spans="1:5" s="75" customFormat="1" x14ac:dyDescent="0.25">
      <c r="A486" s="193"/>
      <c r="B486" s="229"/>
      <c r="C486" s="186"/>
      <c r="D486" s="186"/>
      <c r="E486" s="231"/>
    </row>
    <row r="487" spans="1:5" s="75" customFormat="1" x14ac:dyDescent="0.25">
      <c r="A487" s="193"/>
      <c r="B487" s="229"/>
      <c r="C487" s="186"/>
      <c r="D487" s="186"/>
      <c r="E487" s="231"/>
    </row>
    <row r="488" spans="1:5" s="75" customFormat="1" x14ac:dyDescent="0.25">
      <c r="A488" s="193"/>
      <c r="B488" s="229"/>
      <c r="C488" s="186"/>
      <c r="D488" s="186"/>
      <c r="E488" s="231"/>
    </row>
    <row r="489" spans="1:5" s="75" customFormat="1" x14ac:dyDescent="0.25">
      <c r="A489" s="193"/>
      <c r="B489" s="229"/>
      <c r="C489" s="186"/>
      <c r="D489" s="186"/>
      <c r="E489" s="231"/>
    </row>
    <row r="490" spans="1:5" s="75" customFormat="1" x14ac:dyDescent="0.25">
      <c r="A490" s="193"/>
      <c r="B490" s="229"/>
      <c r="C490" s="186"/>
      <c r="D490" s="186"/>
      <c r="E490" s="231"/>
    </row>
    <row r="491" spans="1:5" s="75" customFormat="1" x14ac:dyDescent="0.25">
      <c r="A491" s="193"/>
      <c r="B491" s="229"/>
      <c r="C491" s="186"/>
      <c r="D491" s="186"/>
      <c r="E491" s="231"/>
    </row>
    <row r="492" spans="1:5" s="75" customFormat="1" x14ac:dyDescent="0.25">
      <c r="A492" s="193"/>
      <c r="B492" s="229"/>
      <c r="C492" s="186"/>
      <c r="D492" s="186"/>
      <c r="E492" s="231"/>
    </row>
    <row r="493" spans="1:5" s="75" customFormat="1" x14ac:dyDescent="0.25">
      <c r="A493" s="193"/>
      <c r="B493" s="229"/>
      <c r="C493" s="186"/>
      <c r="D493" s="186"/>
      <c r="E493" s="231"/>
    </row>
    <row r="494" spans="1:5" s="75" customFormat="1" x14ac:dyDescent="0.25">
      <c r="A494" s="193"/>
      <c r="B494" s="229"/>
      <c r="C494" s="186"/>
      <c r="D494" s="186"/>
      <c r="E494" s="231"/>
    </row>
    <row r="495" spans="1:5" s="75" customFormat="1" x14ac:dyDescent="0.25">
      <c r="A495" s="193"/>
      <c r="B495" s="229"/>
      <c r="C495" s="186"/>
      <c r="D495" s="186"/>
      <c r="E495" s="231"/>
    </row>
    <row r="496" spans="1:5" s="75" customFormat="1" x14ac:dyDescent="0.25">
      <c r="A496" s="193"/>
      <c r="B496" s="229"/>
      <c r="C496" s="186"/>
      <c r="D496" s="186"/>
      <c r="E496" s="231"/>
    </row>
    <row r="497" spans="1:5" s="75" customFormat="1" x14ac:dyDescent="0.25">
      <c r="A497" s="193"/>
      <c r="B497" s="229"/>
      <c r="C497" s="186"/>
      <c r="D497" s="186"/>
      <c r="E497" s="231"/>
    </row>
    <row r="498" spans="1:5" s="75" customFormat="1" x14ac:dyDescent="0.25">
      <c r="A498" s="193"/>
      <c r="B498" s="229"/>
      <c r="C498" s="186"/>
      <c r="D498" s="186"/>
      <c r="E498" s="231"/>
    </row>
    <row r="499" spans="1:5" s="75" customFormat="1" x14ac:dyDescent="0.25">
      <c r="A499" s="193"/>
      <c r="B499" s="229"/>
      <c r="C499" s="186"/>
      <c r="D499" s="186"/>
      <c r="E499" s="231"/>
    </row>
    <row r="500" spans="1:5" s="75" customFormat="1" x14ac:dyDescent="0.25">
      <c r="A500" s="193"/>
      <c r="B500" s="229"/>
      <c r="C500" s="186"/>
      <c r="D500" s="186"/>
      <c r="E500" s="231"/>
    </row>
    <row r="501" spans="1:5" s="75" customFormat="1" x14ac:dyDescent="0.25">
      <c r="A501" s="193"/>
      <c r="B501" s="229"/>
      <c r="C501" s="186"/>
      <c r="D501" s="186"/>
      <c r="E501" s="231"/>
    </row>
    <row r="502" spans="1:5" s="75" customFormat="1" x14ac:dyDescent="0.25">
      <c r="A502" s="193"/>
      <c r="B502" s="229"/>
      <c r="C502" s="186"/>
      <c r="D502" s="186"/>
      <c r="E502" s="231"/>
    </row>
    <row r="503" spans="1:5" s="75" customFormat="1" x14ac:dyDescent="0.25">
      <c r="A503" s="193"/>
      <c r="B503" s="229"/>
      <c r="C503" s="186"/>
      <c r="D503" s="186"/>
      <c r="E503" s="231"/>
    </row>
    <row r="504" spans="1:5" s="75" customFormat="1" x14ac:dyDescent="0.25">
      <c r="A504" s="193"/>
      <c r="B504" s="229"/>
      <c r="C504" s="186"/>
      <c r="D504" s="186"/>
      <c r="E504" s="231"/>
    </row>
    <row r="505" spans="1:5" s="75" customFormat="1" x14ac:dyDescent="0.25">
      <c r="A505" s="193"/>
      <c r="B505" s="229"/>
      <c r="C505" s="186"/>
      <c r="D505" s="186"/>
      <c r="E505" s="231"/>
    </row>
    <row r="506" spans="1:5" s="75" customFormat="1" x14ac:dyDescent="0.25">
      <c r="A506" s="193"/>
      <c r="B506" s="229"/>
      <c r="C506" s="186"/>
      <c r="D506" s="186"/>
      <c r="E506" s="231"/>
    </row>
    <row r="507" spans="1:5" s="75" customFormat="1" x14ac:dyDescent="0.25">
      <c r="A507" s="193"/>
      <c r="B507" s="229"/>
      <c r="C507" s="186"/>
      <c r="D507" s="186"/>
      <c r="E507" s="231"/>
    </row>
    <row r="508" spans="1:5" s="75" customFormat="1" x14ac:dyDescent="0.25">
      <c r="A508" s="193"/>
      <c r="B508" s="229"/>
      <c r="C508" s="186"/>
      <c r="D508" s="186"/>
      <c r="E508" s="231"/>
    </row>
    <row r="509" spans="1:5" s="75" customFormat="1" x14ac:dyDescent="0.25">
      <c r="A509" s="193"/>
      <c r="B509" s="229"/>
      <c r="C509" s="186"/>
      <c r="D509" s="186"/>
      <c r="E509" s="231"/>
    </row>
    <row r="510" spans="1:5" s="75" customFormat="1" x14ac:dyDescent="0.25">
      <c r="A510" s="193"/>
      <c r="B510" s="229"/>
      <c r="C510" s="186"/>
      <c r="D510" s="186"/>
      <c r="E510" s="231"/>
    </row>
    <row r="511" spans="1:5" s="75" customFormat="1" x14ac:dyDescent="0.25">
      <c r="A511" s="193"/>
      <c r="B511" s="229"/>
      <c r="C511" s="186"/>
      <c r="D511" s="186"/>
      <c r="E511" s="231"/>
    </row>
    <row r="512" spans="1:5" s="75" customFormat="1" x14ac:dyDescent="0.25">
      <c r="A512" s="193"/>
      <c r="B512" s="229"/>
      <c r="C512" s="186"/>
      <c r="D512" s="186"/>
      <c r="E512" s="231"/>
    </row>
    <row r="513" spans="1:5" s="75" customFormat="1" x14ac:dyDescent="0.25">
      <c r="A513" s="193"/>
      <c r="B513" s="229"/>
      <c r="C513" s="186"/>
      <c r="D513" s="186"/>
      <c r="E513" s="231"/>
    </row>
    <row r="514" spans="1:5" s="75" customFormat="1" x14ac:dyDescent="0.25">
      <c r="A514" s="193"/>
      <c r="B514" s="229"/>
      <c r="C514" s="186"/>
      <c r="D514" s="186"/>
      <c r="E514" s="231"/>
    </row>
    <row r="515" spans="1:5" s="75" customFormat="1" x14ac:dyDescent="0.25">
      <c r="A515" s="193"/>
      <c r="B515" s="229"/>
      <c r="C515" s="186"/>
      <c r="D515" s="186"/>
      <c r="E515" s="231"/>
    </row>
    <row r="516" spans="1:5" s="75" customFormat="1" x14ac:dyDescent="0.25">
      <c r="A516" s="193"/>
      <c r="B516" s="229"/>
      <c r="C516" s="186"/>
      <c r="D516" s="186"/>
      <c r="E516" s="231"/>
    </row>
    <row r="517" spans="1:5" s="75" customFormat="1" x14ac:dyDescent="0.25">
      <c r="A517" s="193"/>
      <c r="B517" s="229"/>
      <c r="C517" s="186"/>
      <c r="D517" s="186"/>
      <c r="E517" s="231"/>
    </row>
    <row r="518" spans="1:5" s="75" customFormat="1" x14ac:dyDescent="0.25">
      <c r="A518" s="193"/>
      <c r="B518" s="229"/>
      <c r="C518" s="186"/>
      <c r="D518" s="186"/>
      <c r="E518" s="231"/>
    </row>
    <row r="519" spans="1:5" s="75" customFormat="1" x14ac:dyDescent="0.25">
      <c r="A519" s="193"/>
      <c r="B519" s="229"/>
      <c r="C519" s="186"/>
      <c r="D519" s="186"/>
      <c r="E519" s="231"/>
    </row>
    <row r="520" spans="1:5" s="75" customFormat="1" x14ac:dyDescent="0.25">
      <c r="A520" s="193"/>
      <c r="B520" s="229"/>
      <c r="C520" s="186"/>
      <c r="D520" s="186"/>
      <c r="E520" s="231"/>
    </row>
    <row r="521" spans="1:5" s="75" customFormat="1" x14ac:dyDescent="0.25">
      <c r="A521" s="193"/>
      <c r="B521" s="229"/>
      <c r="C521" s="186"/>
      <c r="D521" s="186"/>
      <c r="E521" s="231"/>
    </row>
    <row r="522" spans="1:5" s="75" customFormat="1" x14ac:dyDescent="0.25">
      <c r="A522" s="193"/>
      <c r="B522" s="229"/>
      <c r="C522" s="186"/>
      <c r="D522" s="186"/>
      <c r="E522" s="231"/>
    </row>
    <row r="523" spans="1:5" s="75" customFormat="1" x14ac:dyDescent="0.25">
      <c r="A523" s="193"/>
      <c r="B523" s="229"/>
      <c r="C523" s="186"/>
      <c r="D523" s="186"/>
      <c r="E523" s="231"/>
    </row>
    <row r="524" spans="1:5" s="75" customFormat="1" x14ac:dyDescent="0.25">
      <c r="A524" s="193"/>
      <c r="B524" s="229"/>
      <c r="C524" s="186"/>
      <c r="D524" s="186"/>
      <c r="E524" s="231"/>
    </row>
    <row r="525" spans="1:5" s="75" customFormat="1" x14ac:dyDescent="0.25">
      <c r="A525" s="193"/>
      <c r="B525" s="229"/>
      <c r="C525" s="186"/>
      <c r="D525" s="186"/>
      <c r="E525" s="231"/>
    </row>
    <row r="526" spans="1:5" s="75" customFormat="1" x14ac:dyDescent="0.25">
      <c r="A526" s="193"/>
      <c r="B526" s="229"/>
      <c r="C526" s="186"/>
      <c r="D526" s="186"/>
      <c r="E526" s="231"/>
    </row>
    <row r="527" spans="1:5" s="75" customFormat="1" x14ac:dyDescent="0.25">
      <c r="A527" s="193"/>
      <c r="B527" s="229"/>
      <c r="C527" s="186"/>
      <c r="D527" s="186"/>
      <c r="E527" s="231"/>
    </row>
    <row r="528" spans="1:5" s="75" customFormat="1" x14ac:dyDescent="0.25">
      <c r="A528" s="193"/>
      <c r="B528" s="229"/>
      <c r="C528" s="186"/>
      <c r="D528" s="186"/>
      <c r="E528" s="231"/>
    </row>
    <row r="529" spans="1:5" s="75" customFormat="1" x14ac:dyDescent="0.25">
      <c r="A529" s="193"/>
      <c r="B529" s="229"/>
      <c r="C529" s="186"/>
      <c r="D529" s="186"/>
      <c r="E529" s="231"/>
    </row>
    <row r="530" spans="1:5" s="75" customFormat="1" x14ac:dyDescent="0.25">
      <c r="A530" s="193"/>
      <c r="B530" s="229"/>
      <c r="C530" s="186"/>
      <c r="D530" s="186"/>
      <c r="E530" s="231"/>
    </row>
    <row r="531" spans="1:5" s="75" customFormat="1" x14ac:dyDescent="0.25">
      <c r="A531" s="193"/>
      <c r="B531" s="229"/>
      <c r="C531" s="186"/>
      <c r="D531" s="186"/>
      <c r="E531" s="231"/>
    </row>
    <row r="532" spans="1:5" s="75" customFormat="1" x14ac:dyDescent="0.25">
      <c r="A532" s="193"/>
      <c r="B532" s="229"/>
      <c r="C532" s="186"/>
      <c r="D532" s="186"/>
      <c r="E532" s="231"/>
    </row>
    <row r="533" spans="1:5" s="75" customFormat="1" x14ac:dyDescent="0.25">
      <c r="A533" s="193"/>
      <c r="B533" s="229"/>
      <c r="C533" s="186"/>
      <c r="D533" s="186"/>
      <c r="E533" s="231"/>
    </row>
    <row r="534" spans="1:5" s="75" customFormat="1" x14ac:dyDescent="0.25">
      <c r="A534" s="193"/>
      <c r="B534" s="229"/>
      <c r="C534" s="186"/>
      <c r="D534" s="186"/>
      <c r="E534" s="231"/>
    </row>
    <row r="535" spans="1:5" s="75" customFormat="1" x14ac:dyDescent="0.25">
      <c r="A535" s="193"/>
      <c r="B535" s="229"/>
      <c r="C535" s="186"/>
      <c r="D535" s="186"/>
      <c r="E535" s="231"/>
    </row>
    <row r="536" spans="1:5" s="75" customFormat="1" x14ac:dyDescent="0.25">
      <c r="A536" s="193"/>
      <c r="B536" s="229"/>
      <c r="C536" s="186"/>
      <c r="D536" s="186"/>
      <c r="E536" s="231"/>
    </row>
    <row r="537" spans="1:5" s="75" customFormat="1" x14ac:dyDescent="0.25">
      <c r="A537" s="193"/>
      <c r="B537" s="229"/>
      <c r="C537" s="186"/>
      <c r="D537" s="186"/>
      <c r="E537" s="231"/>
    </row>
    <row r="538" spans="1:5" s="75" customFormat="1" x14ac:dyDescent="0.25">
      <c r="A538" s="193"/>
      <c r="B538" s="229"/>
      <c r="C538" s="186"/>
      <c r="D538" s="186"/>
      <c r="E538" s="231"/>
    </row>
    <row r="539" spans="1:5" s="75" customFormat="1" x14ac:dyDescent="0.25">
      <c r="A539" s="193"/>
      <c r="B539" s="229"/>
      <c r="C539" s="186"/>
      <c r="D539" s="186"/>
      <c r="E539" s="231"/>
    </row>
    <row r="540" spans="1:5" s="75" customFormat="1" x14ac:dyDescent="0.25">
      <c r="A540" s="193"/>
      <c r="B540" s="229"/>
      <c r="C540" s="186"/>
      <c r="D540" s="186"/>
      <c r="E540" s="231"/>
    </row>
    <row r="541" spans="1:5" s="75" customFormat="1" x14ac:dyDescent="0.25">
      <c r="A541" s="193"/>
      <c r="B541" s="229"/>
      <c r="C541" s="186"/>
      <c r="D541" s="186"/>
      <c r="E541" s="231"/>
    </row>
    <row r="542" spans="1:5" s="75" customFormat="1" x14ac:dyDescent="0.25">
      <c r="A542" s="193"/>
      <c r="B542" s="229"/>
      <c r="C542" s="186"/>
      <c r="D542" s="186"/>
      <c r="E542" s="231"/>
    </row>
    <row r="543" spans="1:5" s="75" customFormat="1" x14ac:dyDescent="0.25">
      <c r="A543" s="193"/>
      <c r="B543" s="229"/>
      <c r="C543" s="186"/>
      <c r="D543" s="186"/>
      <c r="E543" s="231"/>
    </row>
    <row r="544" spans="1:5" s="75" customFormat="1" x14ac:dyDescent="0.25">
      <c r="A544" s="193"/>
      <c r="B544" s="229"/>
      <c r="C544" s="186"/>
      <c r="D544" s="186"/>
      <c r="E544" s="231"/>
    </row>
    <row r="545" spans="1:5" s="75" customFormat="1" x14ac:dyDescent="0.25">
      <c r="A545" s="193"/>
      <c r="B545" s="229"/>
      <c r="C545" s="186"/>
      <c r="D545" s="186"/>
      <c r="E545" s="231"/>
    </row>
    <row r="546" spans="1:5" s="75" customFormat="1" x14ac:dyDescent="0.25">
      <c r="A546" s="193"/>
      <c r="B546" s="229"/>
      <c r="C546" s="186"/>
      <c r="D546" s="186"/>
      <c r="E546" s="231"/>
    </row>
    <row r="547" spans="1:5" s="75" customFormat="1" x14ac:dyDescent="0.25">
      <c r="A547" s="193"/>
      <c r="B547" s="229"/>
      <c r="C547" s="186"/>
      <c r="D547" s="186"/>
      <c r="E547" s="231"/>
    </row>
    <row r="548" spans="1:5" s="75" customFormat="1" x14ac:dyDescent="0.25">
      <c r="A548" s="193"/>
      <c r="B548" s="229"/>
      <c r="C548" s="186"/>
      <c r="D548" s="186"/>
      <c r="E548" s="231"/>
    </row>
    <row r="549" spans="1:5" s="75" customFormat="1" x14ac:dyDescent="0.25">
      <c r="A549" s="193"/>
      <c r="B549" s="229"/>
      <c r="C549" s="186"/>
      <c r="D549" s="186"/>
      <c r="E549" s="231"/>
    </row>
    <row r="550" spans="1:5" s="75" customFormat="1" x14ac:dyDescent="0.25">
      <c r="A550" s="193"/>
      <c r="B550" s="229"/>
      <c r="C550" s="186"/>
      <c r="D550" s="186"/>
      <c r="E550" s="231"/>
    </row>
    <row r="551" spans="1:5" s="75" customFormat="1" x14ac:dyDescent="0.25">
      <c r="A551" s="193"/>
      <c r="B551" s="229"/>
      <c r="C551" s="186"/>
      <c r="D551" s="186"/>
      <c r="E551" s="231"/>
    </row>
    <row r="552" spans="1:5" s="75" customFormat="1" x14ac:dyDescent="0.25">
      <c r="A552" s="193"/>
      <c r="B552" s="229"/>
      <c r="C552" s="186"/>
      <c r="D552" s="186"/>
      <c r="E552" s="231"/>
    </row>
    <row r="553" spans="1:5" s="75" customFormat="1" x14ac:dyDescent="0.25">
      <c r="A553" s="193"/>
      <c r="B553" s="229"/>
      <c r="C553" s="186"/>
      <c r="D553" s="186"/>
      <c r="E553" s="231"/>
    </row>
    <row r="554" spans="1:5" s="75" customFormat="1" x14ac:dyDescent="0.25">
      <c r="A554" s="193"/>
      <c r="B554" s="229"/>
      <c r="C554" s="186"/>
      <c r="D554" s="186"/>
      <c r="E554" s="231"/>
    </row>
    <row r="555" spans="1:5" s="75" customFormat="1" x14ac:dyDescent="0.25">
      <c r="A555" s="193"/>
      <c r="B555" s="229"/>
      <c r="C555" s="186"/>
      <c r="D555" s="186"/>
      <c r="E555" s="231"/>
    </row>
    <row r="556" spans="1:5" s="75" customFormat="1" x14ac:dyDescent="0.25">
      <c r="A556" s="193"/>
      <c r="B556" s="229"/>
      <c r="C556" s="186"/>
      <c r="D556" s="186"/>
      <c r="E556" s="231"/>
    </row>
    <row r="557" spans="1:5" s="75" customFormat="1" x14ac:dyDescent="0.25">
      <c r="A557" s="193"/>
      <c r="B557" s="229"/>
      <c r="C557" s="186"/>
      <c r="D557" s="186"/>
      <c r="E557" s="231"/>
    </row>
    <row r="558" spans="1:5" s="75" customFormat="1" x14ac:dyDescent="0.25">
      <c r="A558" s="193"/>
      <c r="B558" s="229"/>
      <c r="C558" s="186"/>
      <c r="D558" s="186"/>
      <c r="E558" s="231"/>
    </row>
    <row r="559" spans="1:5" s="75" customFormat="1" x14ac:dyDescent="0.25">
      <c r="A559" s="193"/>
      <c r="B559" s="229"/>
      <c r="C559" s="186"/>
      <c r="D559" s="186"/>
      <c r="E559" s="231"/>
    </row>
    <row r="560" spans="1:5" s="75" customFormat="1" x14ac:dyDescent="0.25">
      <c r="A560" s="193"/>
      <c r="B560" s="229"/>
      <c r="C560" s="186"/>
      <c r="D560" s="186"/>
      <c r="E560" s="231"/>
    </row>
    <row r="561" spans="1:5" s="75" customFormat="1" x14ac:dyDescent="0.25">
      <c r="A561" s="193"/>
      <c r="B561" s="229"/>
      <c r="C561" s="186"/>
      <c r="D561" s="186"/>
      <c r="E561" s="231"/>
    </row>
    <row r="562" spans="1:5" s="75" customFormat="1" x14ac:dyDescent="0.25">
      <c r="A562" s="193"/>
      <c r="B562" s="229"/>
      <c r="C562" s="186"/>
      <c r="D562" s="186"/>
      <c r="E562" s="231"/>
    </row>
    <row r="563" spans="1:5" s="75" customFormat="1" x14ac:dyDescent="0.25">
      <c r="A563" s="193"/>
      <c r="B563" s="229"/>
      <c r="C563" s="186"/>
      <c r="D563" s="186"/>
      <c r="E563" s="231"/>
    </row>
    <row r="564" spans="1:5" s="75" customFormat="1" x14ac:dyDescent="0.25">
      <c r="A564" s="193"/>
      <c r="B564" s="229"/>
      <c r="C564" s="186"/>
      <c r="D564" s="186"/>
      <c r="E564" s="231"/>
    </row>
    <row r="565" spans="1:5" s="75" customFormat="1" x14ac:dyDescent="0.25">
      <c r="A565" s="193"/>
      <c r="B565" s="229"/>
      <c r="C565" s="186"/>
      <c r="D565" s="186"/>
      <c r="E565" s="231"/>
    </row>
    <row r="566" spans="1:5" s="75" customFormat="1" x14ac:dyDescent="0.25">
      <c r="A566" s="193"/>
      <c r="B566" s="229"/>
      <c r="C566" s="186"/>
      <c r="D566" s="186"/>
      <c r="E566" s="231"/>
    </row>
    <row r="567" spans="1:5" s="75" customFormat="1" x14ac:dyDescent="0.25">
      <c r="A567" s="193"/>
      <c r="B567" s="229"/>
      <c r="C567" s="186"/>
      <c r="D567" s="186"/>
      <c r="E567" s="231"/>
    </row>
    <row r="568" spans="1:5" s="75" customFormat="1" x14ac:dyDescent="0.25">
      <c r="A568" s="193"/>
      <c r="B568" s="229"/>
      <c r="C568" s="186"/>
      <c r="D568" s="186"/>
      <c r="E568" s="231"/>
    </row>
    <row r="569" spans="1:5" s="75" customFormat="1" x14ac:dyDescent="0.25">
      <c r="A569" s="193"/>
      <c r="B569" s="229"/>
      <c r="C569" s="186"/>
      <c r="D569" s="186"/>
      <c r="E569" s="231"/>
    </row>
    <row r="570" spans="1:5" s="75" customFormat="1" x14ac:dyDescent="0.25">
      <c r="A570" s="193"/>
      <c r="B570" s="229"/>
      <c r="C570" s="186"/>
      <c r="D570" s="186"/>
      <c r="E570" s="231"/>
    </row>
    <row r="571" spans="1:5" s="75" customFormat="1" x14ac:dyDescent="0.25">
      <c r="A571" s="193"/>
      <c r="B571" s="229"/>
      <c r="C571" s="186"/>
      <c r="D571" s="186"/>
      <c r="E571" s="231"/>
    </row>
    <row r="572" spans="1:5" s="75" customFormat="1" x14ac:dyDescent="0.25">
      <c r="A572" s="193"/>
      <c r="B572" s="229"/>
      <c r="C572" s="186"/>
      <c r="D572" s="186"/>
      <c r="E572" s="231"/>
    </row>
    <row r="573" spans="1:5" s="75" customFormat="1" x14ac:dyDescent="0.25">
      <c r="A573" s="193"/>
      <c r="B573" s="229"/>
      <c r="C573" s="186"/>
      <c r="D573" s="186"/>
      <c r="E573" s="231"/>
    </row>
    <row r="574" spans="1:5" s="75" customFormat="1" x14ac:dyDescent="0.25">
      <c r="A574" s="193"/>
      <c r="B574" s="229"/>
      <c r="C574" s="186"/>
      <c r="D574" s="186"/>
      <c r="E574" s="231"/>
    </row>
    <row r="575" spans="1:5" s="75" customFormat="1" x14ac:dyDescent="0.25">
      <c r="A575" s="193"/>
      <c r="B575" s="229"/>
      <c r="C575" s="186"/>
      <c r="D575" s="186"/>
      <c r="E575" s="231"/>
    </row>
    <row r="576" spans="1:5" s="75" customFormat="1" x14ac:dyDescent="0.25">
      <c r="A576" s="193"/>
      <c r="B576" s="229"/>
      <c r="C576" s="186"/>
      <c r="D576" s="186"/>
      <c r="E576" s="231"/>
    </row>
    <row r="577" spans="1:5" s="75" customFormat="1" x14ac:dyDescent="0.25">
      <c r="A577" s="193"/>
      <c r="B577" s="229"/>
      <c r="C577" s="186"/>
      <c r="D577" s="186"/>
      <c r="E577" s="231"/>
    </row>
    <row r="578" spans="1:5" s="75" customFormat="1" x14ac:dyDescent="0.25">
      <c r="A578" s="193"/>
      <c r="B578" s="229"/>
      <c r="C578" s="186"/>
      <c r="D578" s="186"/>
      <c r="E578" s="231"/>
    </row>
    <row r="579" spans="1:5" s="75" customFormat="1" x14ac:dyDescent="0.25">
      <c r="A579" s="193"/>
      <c r="B579" s="229"/>
      <c r="C579" s="186"/>
      <c r="D579" s="186"/>
      <c r="E579" s="231"/>
    </row>
    <row r="580" spans="1:5" s="75" customFormat="1" x14ac:dyDescent="0.25">
      <c r="A580" s="193"/>
      <c r="B580" s="229"/>
      <c r="C580" s="186"/>
      <c r="D580" s="186"/>
      <c r="E580" s="231"/>
    </row>
    <row r="581" spans="1:5" s="75" customFormat="1" x14ac:dyDescent="0.25">
      <c r="A581" s="193"/>
      <c r="B581" s="229"/>
      <c r="C581" s="186"/>
      <c r="D581" s="186"/>
      <c r="E581" s="231"/>
    </row>
    <row r="582" spans="1:5" s="75" customFormat="1" x14ac:dyDescent="0.25">
      <c r="A582" s="193"/>
      <c r="B582" s="229"/>
      <c r="C582" s="186"/>
      <c r="D582" s="186"/>
      <c r="E582" s="231"/>
    </row>
    <row r="583" spans="1:5" s="75" customFormat="1" x14ac:dyDescent="0.25">
      <c r="A583" s="193"/>
      <c r="B583" s="229"/>
      <c r="C583" s="186"/>
      <c r="D583" s="186"/>
      <c r="E583" s="231"/>
    </row>
    <row r="584" spans="1:5" s="75" customFormat="1" x14ac:dyDescent="0.25">
      <c r="A584" s="193"/>
      <c r="B584" s="229"/>
      <c r="C584" s="186"/>
      <c r="D584" s="186"/>
      <c r="E584" s="231"/>
    </row>
    <row r="585" spans="1:5" s="75" customFormat="1" x14ac:dyDescent="0.25">
      <c r="A585" s="193"/>
      <c r="B585" s="229"/>
      <c r="C585" s="186"/>
      <c r="D585" s="186"/>
      <c r="E585" s="231"/>
    </row>
    <row r="586" spans="1:5" s="75" customFormat="1" x14ac:dyDescent="0.25">
      <c r="A586" s="193"/>
      <c r="B586" s="229"/>
      <c r="C586" s="186"/>
      <c r="D586" s="186"/>
      <c r="E586" s="231"/>
    </row>
    <row r="587" spans="1:5" s="75" customFormat="1" x14ac:dyDescent="0.25">
      <c r="A587" s="193"/>
      <c r="B587" s="229"/>
      <c r="C587" s="186"/>
      <c r="D587" s="186"/>
      <c r="E587" s="231"/>
    </row>
    <row r="588" spans="1:5" s="75" customFormat="1" x14ac:dyDescent="0.25">
      <c r="A588" s="193"/>
      <c r="B588" s="229"/>
      <c r="C588" s="186"/>
      <c r="D588" s="186"/>
      <c r="E588" s="231"/>
    </row>
    <row r="589" spans="1:5" s="75" customFormat="1" x14ac:dyDescent="0.25">
      <c r="A589" s="193"/>
      <c r="B589" s="229"/>
      <c r="C589" s="186"/>
      <c r="D589" s="186"/>
      <c r="E589" s="231"/>
    </row>
    <row r="590" spans="1:5" s="75" customFormat="1" x14ac:dyDescent="0.25">
      <c r="A590" s="183"/>
      <c r="B590" s="229"/>
      <c r="C590" s="186"/>
      <c r="D590" s="186"/>
      <c r="E590" s="231"/>
    </row>
  </sheetData>
  <mergeCells count="3">
    <mergeCell ref="B11:E11"/>
    <mergeCell ref="B12:E12"/>
    <mergeCell ref="B41:E41"/>
  </mergeCells>
  <printOptions horizontalCentered="1" gridLines="1"/>
  <pageMargins left="0.25" right="0.25" top="0.25" bottom="0.6" header="0.5" footer="0.25"/>
  <pageSetup scale="80" orientation="landscape" cellComments="asDisplayed" horizontalDpi="96" verticalDpi="96" r:id="rId1"/>
  <headerFooter alignWithMargins="0">
    <oddFooter>&amp;L&amp;10Reserves Seminars
&amp;C&amp;10Confidential and exclusive property of PolySystems, Inc.
&amp;R&amp;10&amp;F
&amp;A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21531-D3A3-4D9E-8413-24E5C3EF28F9}">
  <dimension ref="A1:K50"/>
  <sheetViews>
    <sheetView zoomScaleNormal="100" workbookViewId="0">
      <selection activeCell="K17" sqref="K17"/>
    </sheetView>
  </sheetViews>
  <sheetFormatPr defaultColWidth="8.5703125" defaultRowHeight="15" x14ac:dyDescent="0.25"/>
  <cols>
    <col min="1" max="1" width="8.5703125" style="75"/>
    <col min="2" max="2" width="6.5703125" style="75" customWidth="1"/>
    <col min="3" max="3" width="8.85546875" style="75" customWidth="1"/>
    <col min="4" max="4" width="9.5703125" style="75" customWidth="1"/>
    <col min="5" max="6" width="11.5703125" style="75" customWidth="1"/>
    <col min="7" max="7" width="13.42578125" style="75" customWidth="1"/>
    <col min="8" max="8" width="14" style="75" customWidth="1"/>
    <col min="9" max="9" width="13.42578125" style="75" customWidth="1"/>
    <col min="10" max="18" width="11.5703125" style="75" customWidth="1"/>
    <col min="19" max="19" width="14.5703125" style="75" customWidth="1"/>
    <col min="20" max="16384" width="8.5703125" style="75"/>
  </cols>
  <sheetData>
    <row r="1" spans="1:9" x14ac:dyDescent="0.25">
      <c r="A1" s="76" t="s">
        <v>368</v>
      </c>
    </row>
    <row r="2" spans="1:9" x14ac:dyDescent="0.25">
      <c r="A2" s="45" t="s">
        <v>369</v>
      </c>
    </row>
    <row r="3" spans="1:9" x14ac:dyDescent="0.25">
      <c r="A3" s="78" t="s">
        <v>370</v>
      </c>
    </row>
    <row r="4" spans="1:9" x14ac:dyDescent="0.25">
      <c r="A4" s="79" t="s">
        <v>379</v>
      </c>
    </row>
    <row r="6" spans="1:9" x14ac:dyDescent="0.25">
      <c r="A6" s="1" t="s">
        <v>282</v>
      </c>
    </row>
    <row r="7" spans="1:9" x14ac:dyDescent="0.25">
      <c r="A7" s="1" t="s">
        <v>0</v>
      </c>
    </row>
    <row r="8" spans="1:9" x14ac:dyDescent="0.25">
      <c r="A8" s="1" t="s">
        <v>166</v>
      </c>
    </row>
    <row r="9" spans="1:9" ht="15.75" thickBot="1" x14ac:dyDescent="0.3">
      <c r="A9" s="1"/>
    </row>
    <row r="10" spans="1:9" x14ac:dyDescent="0.25">
      <c r="B10" s="15" t="s">
        <v>167</v>
      </c>
      <c r="C10" s="16"/>
      <c r="D10" s="17"/>
      <c r="E10" s="1"/>
      <c r="F10" s="15" t="s">
        <v>132</v>
      </c>
      <c r="G10" s="101"/>
      <c r="H10" s="101"/>
      <c r="I10" s="102"/>
    </row>
    <row r="11" spans="1:9" x14ac:dyDescent="0.25">
      <c r="B11" s="18" t="s">
        <v>168</v>
      </c>
      <c r="C11" s="1"/>
      <c r="D11" s="19"/>
      <c r="E11" s="1"/>
      <c r="F11" s="18" t="s">
        <v>168</v>
      </c>
      <c r="I11" s="120"/>
    </row>
    <row r="12" spans="1:9" ht="15.75" thickBot="1" x14ac:dyDescent="0.3">
      <c r="B12" s="137"/>
      <c r="D12" s="120"/>
      <c r="F12" s="137"/>
      <c r="I12" s="120"/>
    </row>
    <row r="13" spans="1:9" x14ac:dyDescent="0.25">
      <c r="B13" s="137" t="s">
        <v>98</v>
      </c>
      <c r="D13" s="47">
        <v>1000</v>
      </c>
      <c r="E13" s="269"/>
      <c r="F13" s="133" t="s">
        <v>169</v>
      </c>
      <c r="G13" s="101"/>
      <c r="H13" s="101"/>
      <c r="I13" s="48" t="s">
        <v>170</v>
      </c>
    </row>
    <row r="14" spans="1:9" x14ac:dyDescent="0.25">
      <c r="B14" s="137" t="s">
        <v>99</v>
      </c>
      <c r="D14" s="47">
        <v>100</v>
      </c>
      <c r="F14" s="20" t="s">
        <v>138</v>
      </c>
      <c r="G14" s="21"/>
      <c r="I14" s="49">
        <v>0.05</v>
      </c>
    </row>
    <row r="15" spans="1:9" x14ac:dyDescent="0.25">
      <c r="B15" s="137"/>
      <c r="D15" s="47"/>
      <c r="F15" s="20" t="s">
        <v>139</v>
      </c>
      <c r="G15" s="21"/>
      <c r="I15" s="49">
        <v>0.2</v>
      </c>
    </row>
    <row r="16" spans="1:9" x14ac:dyDescent="0.25">
      <c r="B16" s="137" t="s">
        <v>100</v>
      </c>
      <c r="D16" s="47">
        <v>100000</v>
      </c>
      <c r="E16" s="269"/>
      <c r="F16" s="20" t="s">
        <v>140</v>
      </c>
      <c r="G16" s="21"/>
      <c r="I16" s="49">
        <v>1.2500000000000001E-2</v>
      </c>
    </row>
    <row r="17" spans="2:11" x14ac:dyDescent="0.25">
      <c r="B17" s="137" t="s">
        <v>101</v>
      </c>
      <c r="D17" s="270">
        <f>D13*(D16/1000)</f>
        <v>100000</v>
      </c>
      <c r="F17" s="20" t="s">
        <v>141</v>
      </c>
      <c r="G17" s="21"/>
      <c r="I17" s="50">
        <v>1000</v>
      </c>
    </row>
    <row r="18" spans="2:11" x14ac:dyDescent="0.25">
      <c r="B18" s="137"/>
      <c r="D18" s="270"/>
      <c r="F18" s="20"/>
      <c r="G18" s="21"/>
      <c r="I18" s="14"/>
    </row>
    <row r="19" spans="2:11" x14ac:dyDescent="0.25">
      <c r="B19" s="137"/>
      <c r="D19" s="270"/>
      <c r="F19" s="20" t="s">
        <v>143</v>
      </c>
      <c r="G19" s="22"/>
      <c r="I19" s="13">
        <f>'Table 7-10-OptionBudget'!D20/100</f>
        <v>5.7517450058914218E-2</v>
      </c>
    </row>
    <row r="20" spans="2:11" x14ac:dyDescent="0.25">
      <c r="B20" s="137"/>
      <c r="D20" s="270"/>
      <c r="F20" s="20" t="s">
        <v>145</v>
      </c>
      <c r="G20" s="22"/>
      <c r="I20" s="51">
        <v>0</v>
      </c>
    </row>
    <row r="21" spans="2:11" ht="15.75" thickBot="1" x14ac:dyDescent="0.3">
      <c r="B21" s="139"/>
      <c r="C21" s="122"/>
      <c r="D21" s="271"/>
      <c r="F21" s="23" t="s">
        <v>146</v>
      </c>
      <c r="G21" s="24"/>
      <c r="H21" s="122"/>
      <c r="I21" s="52">
        <v>1</v>
      </c>
    </row>
    <row r="22" spans="2:11" x14ac:dyDescent="0.25">
      <c r="C22" s="269"/>
      <c r="G22" s="272"/>
    </row>
    <row r="23" spans="2:11" ht="15.75" thickBot="1" x14ac:dyDescent="0.3">
      <c r="C23" s="269"/>
      <c r="G23" s="272"/>
    </row>
    <row r="24" spans="2:11" x14ac:dyDescent="0.25">
      <c r="B24" s="417" t="s">
        <v>282</v>
      </c>
      <c r="C24" s="418"/>
      <c r="D24" s="418"/>
      <c r="E24" s="418"/>
      <c r="F24" s="418"/>
      <c r="G24" s="418"/>
      <c r="H24" s="418"/>
      <c r="I24" s="418"/>
      <c r="J24" s="418"/>
      <c r="K24" s="419"/>
    </row>
    <row r="25" spans="2:11" ht="15.75" thickBot="1" x14ac:dyDescent="0.3">
      <c r="B25" s="414" t="s">
        <v>171</v>
      </c>
      <c r="C25" s="415"/>
      <c r="D25" s="415"/>
      <c r="E25" s="415"/>
      <c r="F25" s="415"/>
      <c r="G25" s="415"/>
      <c r="H25" s="415"/>
      <c r="I25" s="415"/>
      <c r="J25" s="415"/>
      <c r="K25" s="416"/>
    </row>
    <row r="26" spans="2:11" x14ac:dyDescent="0.25">
      <c r="B26" s="133"/>
      <c r="C26" s="33">
        <v>-1</v>
      </c>
      <c r="D26" s="273">
        <f>C26-1</f>
        <v>-2</v>
      </c>
      <c r="E26" s="273">
        <f t="shared" ref="E26:K26" si="0">D26-1</f>
        <v>-3</v>
      </c>
      <c r="F26" s="273">
        <f t="shared" si="0"/>
        <v>-4</v>
      </c>
      <c r="G26" s="273">
        <f t="shared" si="0"/>
        <v>-5</v>
      </c>
      <c r="H26" s="273">
        <f t="shared" si="0"/>
        <v>-6</v>
      </c>
      <c r="I26" s="273">
        <f t="shared" si="0"/>
        <v>-7</v>
      </c>
      <c r="J26" s="273">
        <f t="shared" si="0"/>
        <v>-8</v>
      </c>
      <c r="K26" s="274">
        <f t="shared" si="0"/>
        <v>-9</v>
      </c>
    </row>
    <row r="27" spans="2:11" x14ac:dyDescent="0.25">
      <c r="B27" s="163"/>
      <c r="C27" s="82"/>
      <c r="D27" s="82" t="s">
        <v>283</v>
      </c>
      <c r="E27" s="82"/>
      <c r="F27" s="82" t="s">
        <v>173</v>
      </c>
      <c r="G27" s="82" t="s">
        <v>174</v>
      </c>
      <c r="H27" s="82" t="s">
        <v>175</v>
      </c>
      <c r="I27" s="82" t="s">
        <v>174</v>
      </c>
      <c r="J27" s="82"/>
      <c r="K27" s="275"/>
    </row>
    <row r="28" spans="2:11" x14ac:dyDescent="0.25">
      <c r="B28" s="103" t="s">
        <v>3</v>
      </c>
      <c r="C28" s="82" t="s">
        <v>17</v>
      </c>
      <c r="D28" s="82" t="s">
        <v>17</v>
      </c>
      <c r="E28" s="82" t="s">
        <v>16</v>
      </c>
      <c r="F28" s="82" t="s">
        <v>14</v>
      </c>
      <c r="G28" s="82" t="s">
        <v>14</v>
      </c>
      <c r="H28" s="82" t="s">
        <v>177</v>
      </c>
      <c r="I28" s="82" t="s">
        <v>177</v>
      </c>
      <c r="J28" s="82" t="s">
        <v>178</v>
      </c>
      <c r="K28" s="275" t="s">
        <v>23</v>
      </c>
    </row>
    <row r="29" spans="2:11" ht="15.75" thickBot="1" x14ac:dyDescent="0.3">
      <c r="B29" s="109" t="s">
        <v>7</v>
      </c>
      <c r="C29" s="276" t="s">
        <v>32</v>
      </c>
      <c r="D29" s="276" t="s">
        <v>179</v>
      </c>
      <c r="E29" s="276" t="s">
        <v>180</v>
      </c>
      <c r="F29" s="276" t="s">
        <v>181</v>
      </c>
      <c r="G29" s="276" t="s">
        <v>181</v>
      </c>
      <c r="H29" s="276" t="s">
        <v>78</v>
      </c>
      <c r="I29" s="276" t="s">
        <v>78</v>
      </c>
      <c r="J29" s="276" t="s">
        <v>182</v>
      </c>
      <c r="K29" s="277" t="s">
        <v>182</v>
      </c>
    </row>
    <row r="30" spans="2:11" x14ac:dyDescent="0.25">
      <c r="B30" s="103"/>
      <c r="C30" s="101"/>
      <c r="K30" s="120"/>
    </row>
    <row r="31" spans="2:11" ht="13.35" customHeight="1" x14ac:dyDescent="0.25">
      <c r="B31" s="103">
        <v>1</v>
      </c>
      <c r="C31" s="53">
        <v>35</v>
      </c>
      <c r="D31" s="278">
        <f>'Tables 26a,b-MasterInputs'!F56</f>
        <v>0.02</v>
      </c>
      <c r="E31" s="279">
        <f>'Tables 26a,b-MasterInputs'!G56</f>
        <v>20</v>
      </c>
      <c r="F31" s="55">
        <v>0</v>
      </c>
      <c r="G31" s="278">
        <f>'Tables 26a,b-MasterInputs'!F31</f>
        <v>2.75E-2</v>
      </c>
      <c r="H31" s="280">
        <f>'Tables 26a,b-MasterInputs'!K56</f>
        <v>1.6480000000000002E-3</v>
      </c>
      <c r="I31" s="280">
        <f>'Tables 26a,b-MasterInputs'!E56</f>
        <v>1.6000000000000001E-3</v>
      </c>
      <c r="J31" s="105">
        <f>'Tables 26a,b-MasterInputs'!I56</f>
        <v>8.0000000000000004E-4</v>
      </c>
      <c r="K31" s="281">
        <f>'Tables 26a,b-MasterInputs'!J56</f>
        <v>0.15</v>
      </c>
    </row>
    <row r="32" spans="2:11" x14ac:dyDescent="0.25">
      <c r="B32" s="103">
        <f t="shared" ref="B32:B50" si="1">B31+1</f>
        <v>2</v>
      </c>
      <c r="C32" s="53">
        <f t="shared" ref="C32:C50" si="2">C31</f>
        <v>35</v>
      </c>
      <c r="D32" s="278">
        <f>'Tables 26a,b-MasterInputs'!F57</f>
        <v>0.02</v>
      </c>
      <c r="E32" s="279">
        <f>'Tables 26a,b-MasterInputs'!G57</f>
        <v>20</v>
      </c>
      <c r="F32" s="55">
        <v>0</v>
      </c>
      <c r="G32" s="278">
        <f>'Tables 26a,b-MasterInputs'!F32</f>
        <v>2.75E-2</v>
      </c>
      <c r="H32" s="280">
        <f>'Tables 26a,b-MasterInputs'!K57</f>
        <v>2.2660000000000002E-3</v>
      </c>
      <c r="I32" s="280">
        <f>'Tables 26a,b-MasterInputs'!E57</f>
        <v>2.2000000000000001E-3</v>
      </c>
      <c r="J32" s="105">
        <f>'Tables 26a,b-MasterInputs'!I57</f>
        <v>1.1000000000000001E-3</v>
      </c>
      <c r="K32" s="281">
        <f>'Tables 26a,b-MasterInputs'!J57</f>
        <v>0.12</v>
      </c>
    </row>
    <row r="33" spans="2:11" x14ac:dyDescent="0.25">
      <c r="B33" s="103">
        <f t="shared" si="1"/>
        <v>3</v>
      </c>
      <c r="C33" s="53">
        <f t="shared" si="2"/>
        <v>35</v>
      </c>
      <c r="D33" s="278">
        <f>'Tables 26a,b-MasterInputs'!F58</f>
        <v>0.02</v>
      </c>
      <c r="E33" s="279">
        <f>'Tables 26a,b-MasterInputs'!G58</f>
        <v>20</v>
      </c>
      <c r="F33" s="55">
        <v>0</v>
      </c>
      <c r="G33" s="278">
        <f>'Tables 26a,b-MasterInputs'!F33</f>
        <v>2.75E-2</v>
      </c>
      <c r="H33" s="280">
        <f>'Tables 26a,b-MasterInputs'!K58</f>
        <v>2.9458000000000002E-3</v>
      </c>
      <c r="I33" s="280">
        <f>'Tables 26a,b-MasterInputs'!E58</f>
        <v>2.8600000000000001E-3</v>
      </c>
      <c r="J33" s="105">
        <f>'Tables 26a,b-MasterInputs'!I58</f>
        <v>1.4300000000000001E-3</v>
      </c>
      <c r="K33" s="281">
        <f>'Tables 26a,b-MasterInputs'!J58</f>
        <v>0.1</v>
      </c>
    </row>
    <row r="34" spans="2:11" x14ac:dyDescent="0.25">
      <c r="B34" s="103">
        <f t="shared" si="1"/>
        <v>4</v>
      </c>
      <c r="C34" s="53">
        <f t="shared" si="2"/>
        <v>35</v>
      </c>
      <c r="D34" s="278">
        <f>'Tables 26a,b-MasterInputs'!F59</f>
        <v>0.02</v>
      </c>
      <c r="E34" s="279">
        <f>'Tables 26a,b-MasterInputs'!G59</f>
        <v>20</v>
      </c>
      <c r="F34" s="55">
        <v>0</v>
      </c>
      <c r="G34" s="278">
        <f>'Tables 26a,b-MasterInputs'!F34</f>
        <v>2.75E-2</v>
      </c>
      <c r="H34" s="280">
        <f>'Tables 26a,b-MasterInputs'!K59</f>
        <v>3.5225999999999999E-3</v>
      </c>
      <c r="I34" s="280">
        <f>'Tables 26a,b-MasterInputs'!E59</f>
        <v>3.4199999999999999E-3</v>
      </c>
      <c r="J34" s="105">
        <f>'Tables 26a,b-MasterInputs'!I59</f>
        <v>1.7099999999999999E-3</v>
      </c>
      <c r="K34" s="281">
        <f>'Tables 26a,b-MasterInputs'!J59</f>
        <v>0.09</v>
      </c>
    </row>
    <row r="35" spans="2:11" x14ac:dyDescent="0.25">
      <c r="B35" s="103">
        <f t="shared" si="1"/>
        <v>5</v>
      </c>
      <c r="C35" s="53">
        <f t="shared" si="2"/>
        <v>35</v>
      </c>
      <c r="D35" s="278">
        <f>'Tables 26a,b-MasterInputs'!F60</f>
        <v>0.02</v>
      </c>
      <c r="E35" s="279">
        <f>'Tables 26a,b-MasterInputs'!G60</f>
        <v>20</v>
      </c>
      <c r="F35" s="55">
        <v>0</v>
      </c>
      <c r="G35" s="278">
        <f>'Tables 26a,b-MasterInputs'!F35</f>
        <v>2.75E-2</v>
      </c>
      <c r="H35" s="280">
        <f>'Tables 26a,b-MasterInputs'!K60</f>
        <v>3.9964000000000006E-3</v>
      </c>
      <c r="I35" s="280">
        <f>'Tables 26a,b-MasterInputs'!E60</f>
        <v>3.8800000000000002E-3</v>
      </c>
      <c r="J35" s="105">
        <f>'Tables 26a,b-MasterInputs'!I60</f>
        <v>1.9400000000000001E-3</v>
      </c>
      <c r="K35" s="281">
        <f>'Tables 26a,b-MasterInputs'!J60</f>
        <v>0.08</v>
      </c>
    </row>
    <row r="36" spans="2:11" x14ac:dyDescent="0.25">
      <c r="B36" s="103">
        <f t="shared" si="1"/>
        <v>6</v>
      </c>
      <c r="C36" s="53">
        <f t="shared" si="2"/>
        <v>35</v>
      </c>
      <c r="D36" s="278">
        <f>'Tables 26a,b-MasterInputs'!F61</f>
        <v>0.02</v>
      </c>
      <c r="E36" s="279">
        <f>'Tables 26a,b-MasterInputs'!G61</f>
        <v>20</v>
      </c>
      <c r="F36" s="55">
        <v>0</v>
      </c>
      <c r="G36" s="278">
        <f>'Tables 26a,b-MasterInputs'!F36</f>
        <v>2.75E-2</v>
      </c>
      <c r="H36" s="280">
        <f>'Tables 26a,b-MasterInputs'!K61</f>
        <v>4.1158800000000006E-3</v>
      </c>
      <c r="I36" s="280">
        <f>'Tables 26a,b-MasterInputs'!E61</f>
        <v>3.9960000000000004E-3</v>
      </c>
      <c r="J36" s="105">
        <f>'Tables 26a,b-MasterInputs'!I61</f>
        <v>2.2200000000000002E-3</v>
      </c>
      <c r="K36" s="281">
        <f>'Tables 26a,b-MasterInputs'!J61</f>
        <v>7.0000000000000007E-2</v>
      </c>
    </row>
    <row r="37" spans="2:11" x14ac:dyDescent="0.25">
      <c r="B37" s="103">
        <f t="shared" si="1"/>
        <v>7</v>
      </c>
      <c r="C37" s="53">
        <f t="shared" si="2"/>
        <v>35</v>
      </c>
      <c r="D37" s="278">
        <f>'Tables 26a,b-MasterInputs'!F62</f>
        <v>0.02</v>
      </c>
      <c r="E37" s="279">
        <f>'Tables 26a,b-MasterInputs'!G62</f>
        <v>20</v>
      </c>
      <c r="F37" s="55">
        <v>0</v>
      </c>
      <c r="G37" s="278">
        <f>'Tables 26a,b-MasterInputs'!F37</f>
        <v>2.75E-2</v>
      </c>
      <c r="H37" s="280">
        <f>'Tables 26a,b-MasterInputs'!K62</f>
        <v>4.1694400000000008E-3</v>
      </c>
      <c r="I37" s="280">
        <f>'Tables 26a,b-MasterInputs'!E62</f>
        <v>4.0480000000000004E-3</v>
      </c>
      <c r="J37" s="105">
        <f>'Tables 26a,b-MasterInputs'!I62</f>
        <v>2.5300000000000001E-3</v>
      </c>
      <c r="K37" s="281">
        <f>'Tables 26a,b-MasterInputs'!J62</f>
        <v>0.06</v>
      </c>
    </row>
    <row r="38" spans="2:11" x14ac:dyDescent="0.25">
      <c r="B38" s="103">
        <f t="shared" si="1"/>
        <v>8</v>
      </c>
      <c r="C38" s="53">
        <f t="shared" si="2"/>
        <v>35</v>
      </c>
      <c r="D38" s="278">
        <f>'Tables 26a,b-MasterInputs'!F63</f>
        <v>0.02</v>
      </c>
      <c r="E38" s="279">
        <f>'Tables 26a,b-MasterInputs'!G63</f>
        <v>20</v>
      </c>
      <c r="F38" s="55">
        <v>0</v>
      </c>
      <c r="G38" s="278">
        <f>'Tables 26a,b-MasterInputs'!F38</f>
        <v>2.75E-2</v>
      </c>
      <c r="H38" s="280">
        <f>'Tables 26a,b-MasterInputs'!K63</f>
        <v>4.0808600000000004E-3</v>
      </c>
      <c r="I38" s="280">
        <f>'Tables 26a,b-MasterInputs'!E63</f>
        <v>3.9620000000000002E-3</v>
      </c>
      <c r="J38" s="105">
        <f>'Tables 26a,b-MasterInputs'!I63</f>
        <v>2.8300000000000001E-3</v>
      </c>
      <c r="K38" s="281">
        <f>'Tables 26a,b-MasterInputs'!J63</f>
        <v>0.05</v>
      </c>
    </row>
    <row r="39" spans="2:11" x14ac:dyDescent="0.25">
      <c r="B39" s="103">
        <f t="shared" si="1"/>
        <v>9</v>
      </c>
      <c r="C39" s="53">
        <f t="shared" si="2"/>
        <v>35</v>
      </c>
      <c r="D39" s="278">
        <f>'Tables 26a,b-MasterInputs'!F64</f>
        <v>0.02</v>
      </c>
      <c r="E39" s="279">
        <f>'Tables 26a,b-MasterInputs'!G64</f>
        <v>20</v>
      </c>
      <c r="F39" s="55">
        <v>0</v>
      </c>
      <c r="G39" s="278">
        <f>'Tables 26a,b-MasterInputs'!F39</f>
        <v>2.75E-2</v>
      </c>
      <c r="H39" s="280">
        <f>'Tables 26a,b-MasterInputs'!K64</f>
        <v>3.8439599999999996E-3</v>
      </c>
      <c r="I39" s="280">
        <f>'Tables 26a,b-MasterInputs'!E64</f>
        <v>3.7319999999999996E-3</v>
      </c>
      <c r="J39" s="105">
        <f>'Tables 26a,b-MasterInputs'!I64</f>
        <v>3.1099999999999999E-3</v>
      </c>
      <c r="K39" s="281">
        <f>'Tables 26a,b-MasterInputs'!J64</f>
        <v>0.04</v>
      </c>
    </row>
    <row r="40" spans="2:11" x14ac:dyDescent="0.25">
      <c r="B40" s="103">
        <f t="shared" si="1"/>
        <v>10</v>
      </c>
      <c r="C40" s="53">
        <f t="shared" si="2"/>
        <v>35</v>
      </c>
      <c r="D40" s="278">
        <f>'Tables 26a,b-MasterInputs'!F65</f>
        <v>0.02</v>
      </c>
      <c r="E40" s="279">
        <f>'Tables 26a,b-MasterInputs'!G65</f>
        <v>20</v>
      </c>
      <c r="F40" s="55">
        <v>0</v>
      </c>
      <c r="G40" s="278">
        <f>'Tables 26a,b-MasterInputs'!F40</f>
        <v>2.75E-2</v>
      </c>
      <c r="H40" s="280">
        <f>'Tables 26a,b-MasterInputs'!K65</f>
        <v>3.5535000000000002E-3</v>
      </c>
      <c r="I40" s="280">
        <f>'Tables 26a,b-MasterInputs'!E65</f>
        <v>3.4499999999999999E-3</v>
      </c>
      <c r="J40" s="105">
        <f>'Tables 26a,b-MasterInputs'!I65</f>
        <v>3.4499999999999999E-3</v>
      </c>
      <c r="K40" s="281">
        <f>'Tables 26a,b-MasterInputs'!J65</f>
        <v>0.04</v>
      </c>
    </row>
    <row r="41" spans="2:11" x14ac:dyDescent="0.25">
      <c r="B41" s="103">
        <f t="shared" si="1"/>
        <v>11</v>
      </c>
      <c r="C41" s="53">
        <f t="shared" si="2"/>
        <v>35</v>
      </c>
      <c r="D41" s="278">
        <f>'Tables 26a,b-MasterInputs'!F66</f>
        <v>0.02</v>
      </c>
      <c r="E41" s="279">
        <f>'Tables 26a,b-MasterInputs'!G66</f>
        <v>20</v>
      </c>
      <c r="F41" s="55">
        <v>0</v>
      </c>
      <c r="G41" s="278">
        <f>'Tables 26a,b-MasterInputs'!F41</f>
        <v>2.75E-2</v>
      </c>
      <c r="H41" s="280">
        <f>'Tables 26a,b-MasterInputs'!K66</f>
        <v>3.6245700000000006E-3</v>
      </c>
      <c r="I41" s="280">
        <f>'Tables 26a,b-MasterInputs'!E66</f>
        <v>3.5190000000000004E-3</v>
      </c>
      <c r="J41" s="105">
        <f>'Tables 26a,b-MasterInputs'!I66</f>
        <v>3.9100000000000003E-3</v>
      </c>
      <c r="K41" s="281">
        <f>'Tables 26a,b-MasterInputs'!J66</f>
        <v>0.04</v>
      </c>
    </row>
    <row r="42" spans="2:11" x14ac:dyDescent="0.25">
      <c r="B42" s="103">
        <f t="shared" si="1"/>
        <v>12</v>
      </c>
      <c r="C42" s="53">
        <f t="shared" si="2"/>
        <v>35</v>
      </c>
      <c r="D42" s="278">
        <f>'Tables 26a,b-MasterInputs'!F67</f>
        <v>0.02</v>
      </c>
      <c r="E42" s="279">
        <f>'Tables 26a,b-MasterInputs'!G67</f>
        <v>20</v>
      </c>
      <c r="F42" s="55">
        <v>0</v>
      </c>
      <c r="G42" s="278">
        <f>'Tables 26a,b-MasterInputs'!F42</f>
        <v>2.75E-2</v>
      </c>
      <c r="H42" s="280">
        <f>'Tables 26a,b-MasterInputs'!K67</f>
        <v>4.2549300000000005E-3</v>
      </c>
      <c r="I42" s="280">
        <f>'Tables 26a,b-MasterInputs'!E67</f>
        <v>4.1310000000000001E-3</v>
      </c>
      <c r="J42" s="105">
        <f>'Tables 26a,b-MasterInputs'!I67</f>
        <v>4.5900000000000003E-3</v>
      </c>
      <c r="K42" s="281">
        <f>'Tables 26a,b-MasterInputs'!J67</f>
        <v>0.04</v>
      </c>
    </row>
    <row r="43" spans="2:11" x14ac:dyDescent="0.25">
      <c r="B43" s="103">
        <f t="shared" si="1"/>
        <v>13</v>
      </c>
      <c r="C43" s="53">
        <f t="shared" si="2"/>
        <v>35</v>
      </c>
      <c r="D43" s="278">
        <f>'Tables 26a,b-MasterInputs'!F68</f>
        <v>0.02</v>
      </c>
      <c r="E43" s="279">
        <f>'Tables 26a,b-MasterInputs'!G68</f>
        <v>20</v>
      </c>
      <c r="F43" s="55">
        <v>0</v>
      </c>
      <c r="G43" s="278">
        <f>'Tables 26a,b-MasterInputs'!F43</f>
        <v>2.75E-2</v>
      </c>
      <c r="H43" s="280">
        <f>'Tables 26a,b-MasterInputs'!K68</f>
        <v>4.9872600000000003E-3</v>
      </c>
      <c r="I43" s="280">
        <f>'Tables 26a,b-MasterInputs'!E68</f>
        <v>4.8419999999999999E-3</v>
      </c>
      <c r="J43" s="105">
        <f>'Tables 26a,b-MasterInputs'!I68</f>
        <v>5.3800000000000002E-3</v>
      </c>
      <c r="K43" s="281">
        <f>'Tables 26a,b-MasterInputs'!J68</f>
        <v>0.04</v>
      </c>
    </row>
    <row r="44" spans="2:11" x14ac:dyDescent="0.25">
      <c r="B44" s="103">
        <f t="shared" si="1"/>
        <v>14</v>
      </c>
      <c r="C44" s="53">
        <f t="shared" si="2"/>
        <v>35</v>
      </c>
      <c r="D44" s="278">
        <f>'Tables 26a,b-MasterInputs'!F69</f>
        <v>0.02</v>
      </c>
      <c r="E44" s="279">
        <f>'Tables 26a,b-MasterInputs'!G69</f>
        <v>20</v>
      </c>
      <c r="F44" s="55">
        <v>0</v>
      </c>
      <c r="G44" s="278">
        <f>'Tables 26a,b-MasterInputs'!F44</f>
        <v>2.75E-2</v>
      </c>
      <c r="H44" s="280">
        <f>'Tables 26a,b-MasterInputs'!K69</f>
        <v>5.7103199999999996E-3</v>
      </c>
      <c r="I44" s="280">
        <f>'Tables 26a,b-MasterInputs'!E69</f>
        <v>5.5439999999999994E-3</v>
      </c>
      <c r="J44" s="105">
        <f>'Tables 26a,b-MasterInputs'!I69</f>
        <v>6.1599999999999997E-3</v>
      </c>
      <c r="K44" s="281">
        <f>'Tables 26a,b-MasterInputs'!J69</f>
        <v>0.04</v>
      </c>
    </row>
    <row r="45" spans="2:11" x14ac:dyDescent="0.25">
      <c r="B45" s="103">
        <f t="shared" si="1"/>
        <v>15</v>
      </c>
      <c r="C45" s="53">
        <f t="shared" si="2"/>
        <v>35</v>
      </c>
      <c r="D45" s="278">
        <f>'Tables 26a,b-MasterInputs'!F70</f>
        <v>0.02</v>
      </c>
      <c r="E45" s="279">
        <f>'Tables 26a,b-MasterInputs'!G70</f>
        <v>20</v>
      </c>
      <c r="F45" s="55">
        <v>0</v>
      </c>
      <c r="G45" s="278">
        <f>'Tables 26a,b-MasterInputs'!F45</f>
        <v>2.75E-2</v>
      </c>
      <c r="H45" s="280">
        <f>'Tables 26a,b-MasterInputs'!K70</f>
        <v>6.4241100000000002E-3</v>
      </c>
      <c r="I45" s="280">
        <f>'Tables 26a,b-MasterInputs'!E70</f>
        <v>6.2370000000000004E-3</v>
      </c>
      <c r="J45" s="105">
        <f>'Tables 26a,b-MasterInputs'!I70</f>
        <v>6.9300000000000004E-3</v>
      </c>
      <c r="K45" s="281">
        <f>'Tables 26a,b-MasterInputs'!J70</f>
        <v>0.04</v>
      </c>
    </row>
    <row r="46" spans="2:11" x14ac:dyDescent="0.25">
      <c r="B46" s="103">
        <f t="shared" si="1"/>
        <v>16</v>
      </c>
      <c r="C46" s="53">
        <f t="shared" si="2"/>
        <v>35</v>
      </c>
      <c r="D46" s="278">
        <f>'Tables 26a,b-MasterInputs'!F71</f>
        <v>0.02</v>
      </c>
      <c r="E46" s="279">
        <f>'Tables 26a,b-MasterInputs'!G71</f>
        <v>20</v>
      </c>
      <c r="F46" s="55">
        <v>0</v>
      </c>
      <c r="G46" s="278">
        <f>'Tables 26a,b-MasterInputs'!F46</f>
        <v>2.75E-2</v>
      </c>
      <c r="H46" s="280">
        <f>'Tables 26a,b-MasterInputs'!K71</f>
        <v>7.2027900000000006E-3</v>
      </c>
      <c r="I46" s="280">
        <f>'Tables 26a,b-MasterInputs'!E71</f>
        <v>6.9930000000000001E-3</v>
      </c>
      <c r="J46" s="105">
        <f>'Tables 26a,b-MasterInputs'!I71</f>
        <v>7.77E-3</v>
      </c>
      <c r="K46" s="281">
        <f>'Tables 26a,b-MasterInputs'!J71</f>
        <v>0.04</v>
      </c>
    </row>
    <row r="47" spans="2:11" x14ac:dyDescent="0.25">
      <c r="B47" s="103">
        <f t="shared" si="1"/>
        <v>17</v>
      </c>
      <c r="C47" s="53">
        <f t="shared" si="2"/>
        <v>35</v>
      </c>
      <c r="D47" s="278">
        <f>'Tables 26a,b-MasterInputs'!F72</f>
        <v>0.02</v>
      </c>
      <c r="E47" s="279">
        <f>'Tables 26a,b-MasterInputs'!G72</f>
        <v>20</v>
      </c>
      <c r="F47" s="55">
        <v>0</v>
      </c>
      <c r="G47" s="278">
        <f>'Tables 26a,b-MasterInputs'!F47</f>
        <v>2.75E-2</v>
      </c>
      <c r="H47" s="280">
        <f>'Tables 26a,b-MasterInputs'!K72</f>
        <v>7.8609600000000002E-3</v>
      </c>
      <c r="I47" s="280">
        <f>'Tables 26a,b-MasterInputs'!E72</f>
        <v>7.6319999999999999E-3</v>
      </c>
      <c r="J47" s="105">
        <f>'Tables 26a,b-MasterInputs'!I72</f>
        <v>8.4799999999999997E-3</v>
      </c>
      <c r="K47" s="281">
        <f>'Tables 26a,b-MasterInputs'!J72</f>
        <v>0.04</v>
      </c>
    </row>
    <row r="48" spans="2:11" x14ac:dyDescent="0.25">
      <c r="B48" s="103">
        <f t="shared" si="1"/>
        <v>18</v>
      </c>
      <c r="C48" s="53">
        <f t="shared" si="2"/>
        <v>35</v>
      </c>
      <c r="D48" s="278">
        <f>'Tables 26a,b-MasterInputs'!F73</f>
        <v>0.02</v>
      </c>
      <c r="E48" s="279">
        <f>'Tables 26a,b-MasterInputs'!G73</f>
        <v>20</v>
      </c>
      <c r="F48" s="55">
        <v>0</v>
      </c>
      <c r="G48" s="278">
        <f>'Tables 26a,b-MasterInputs'!F48</f>
        <v>2.75E-2</v>
      </c>
      <c r="H48" s="280">
        <f>'Tables 26a,b-MasterInputs'!K73</f>
        <v>8.6210999999999996E-3</v>
      </c>
      <c r="I48" s="280">
        <f>'Tables 26a,b-MasterInputs'!E73</f>
        <v>8.369999999999999E-3</v>
      </c>
      <c r="J48" s="105">
        <f>'Tables 26a,b-MasterInputs'!I73</f>
        <v>9.2999999999999992E-3</v>
      </c>
      <c r="K48" s="281">
        <f>'Tables 26a,b-MasterInputs'!J73</f>
        <v>0.04</v>
      </c>
    </row>
    <row r="49" spans="2:11" x14ac:dyDescent="0.25">
      <c r="B49" s="103">
        <f t="shared" si="1"/>
        <v>19</v>
      </c>
      <c r="C49" s="53">
        <f t="shared" si="2"/>
        <v>35</v>
      </c>
      <c r="D49" s="278">
        <f>'Tables 26a,b-MasterInputs'!F74</f>
        <v>0.02</v>
      </c>
      <c r="E49" s="279">
        <f>'Tables 26a,b-MasterInputs'!G74</f>
        <v>20</v>
      </c>
      <c r="F49" s="55">
        <v>0</v>
      </c>
      <c r="G49" s="278">
        <f>'Tables 26a,b-MasterInputs'!F49</f>
        <v>2.75E-2</v>
      </c>
      <c r="H49" s="280">
        <f>'Tables 26a,b-MasterInputs'!K74</f>
        <v>9.4739400000000001E-3</v>
      </c>
      <c r="I49" s="280">
        <f>'Tables 26a,b-MasterInputs'!E74</f>
        <v>9.1979999999999996E-3</v>
      </c>
      <c r="J49" s="105">
        <f>'Tables 26a,b-MasterInputs'!I74</f>
        <v>1.022E-2</v>
      </c>
      <c r="K49" s="281">
        <f>'Tables 26a,b-MasterInputs'!J74</f>
        <v>0.04</v>
      </c>
    </row>
    <row r="50" spans="2:11" ht="15.75" thickBot="1" x14ac:dyDescent="0.3">
      <c r="B50" s="109">
        <f t="shared" si="1"/>
        <v>20</v>
      </c>
      <c r="C50" s="54">
        <f t="shared" si="2"/>
        <v>35</v>
      </c>
      <c r="D50" s="282">
        <f>'Tables 26a,b-MasterInputs'!F75</f>
        <v>0.02</v>
      </c>
      <c r="E50" s="283">
        <f>'Tables 26a,b-MasterInputs'!G75</f>
        <v>20</v>
      </c>
      <c r="F50" s="56">
        <v>0</v>
      </c>
      <c r="G50" s="282">
        <f>'Tables 26a,b-MasterInputs'!F50</f>
        <v>2.75E-2</v>
      </c>
      <c r="H50" s="284">
        <f>'Tables 26a,b-MasterInputs'!K75</f>
        <v>1.0428750000000001E-2</v>
      </c>
      <c r="I50" s="284">
        <f>'Tables 26a,b-MasterInputs'!E75</f>
        <v>1.0125E-2</v>
      </c>
      <c r="J50" s="113">
        <f>'Tables 26a,b-MasterInputs'!I75</f>
        <v>1.125E-2</v>
      </c>
      <c r="K50" s="285">
        <f>'Tables 26a,b-MasterInputs'!J75</f>
        <v>1</v>
      </c>
    </row>
  </sheetData>
  <mergeCells count="2">
    <mergeCell ref="B25:K25"/>
    <mergeCell ref="B24:K24"/>
  </mergeCells>
  <dataValidations count="1">
    <dataValidation type="list" allowBlank="1" showInputMessage="1" showErrorMessage="1" sqref="I13" xr:uid="{F2DDED55-E943-473C-9D39-597E46FF3A73}">
      <formula1>"Yes, No"</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6746B-B69B-4674-86AF-376E70C10262}">
  <sheetPr codeName="Sheet17"/>
  <dimension ref="A1:DL146"/>
  <sheetViews>
    <sheetView showGridLines="0" zoomScaleNormal="100" workbookViewId="0">
      <selection activeCell="C15" sqref="C15"/>
    </sheetView>
  </sheetViews>
  <sheetFormatPr defaultColWidth="8.5703125" defaultRowHeight="15" x14ac:dyDescent="0.25"/>
  <cols>
    <col min="1" max="1" width="7.42578125" style="81" customWidth="1"/>
    <col min="2" max="2" width="8" style="75" customWidth="1"/>
    <col min="3" max="4" width="12.5703125" style="75" customWidth="1"/>
    <col min="5" max="5" width="9.85546875" style="75" customWidth="1"/>
    <col min="6" max="6" width="12" style="75" customWidth="1"/>
    <col min="7" max="7" width="12.5703125" style="75" customWidth="1"/>
    <col min="8" max="10" width="12.42578125" style="75" bestFit="1" customWidth="1"/>
    <col min="11" max="12" width="12" style="75" bestFit="1" customWidth="1"/>
    <col min="13" max="13" width="11.5703125" style="75" bestFit="1" customWidth="1"/>
    <col min="14" max="14" width="11" style="75" bestFit="1" customWidth="1"/>
    <col min="15" max="15" width="14.5703125" style="75" bestFit="1" customWidth="1"/>
    <col min="16" max="16" width="14.42578125" style="75" bestFit="1" customWidth="1"/>
    <col min="17" max="17" width="10" style="75" bestFit="1" customWidth="1"/>
    <col min="18" max="18" width="11.5703125" style="75" bestFit="1" customWidth="1"/>
    <col min="19" max="19" width="12.5703125" style="75" bestFit="1" customWidth="1"/>
    <col min="20" max="21" width="11.85546875" style="75" bestFit="1" customWidth="1"/>
    <col min="22" max="22" width="11" style="75" bestFit="1" customWidth="1"/>
    <col min="23" max="23" width="13.42578125" style="75" bestFit="1" customWidth="1"/>
    <col min="24" max="24" width="10.42578125" style="75" bestFit="1" customWidth="1"/>
    <col min="25" max="27" width="11.42578125" style="75" bestFit="1" customWidth="1"/>
    <col min="28" max="28" width="11.5703125" style="75" bestFit="1" customWidth="1"/>
    <col min="29" max="29" width="15" style="75" bestFit="1" customWidth="1"/>
    <col min="30" max="30" width="11.5703125" style="75" bestFit="1" customWidth="1"/>
    <col min="31" max="36" width="12.5703125" style="75" bestFit="1" customWidth="1"/>
    <col min="37" max="38" width="11.85546875" style="75" bestFit="1" customWidth="1"/>
    <col min="39" max="39" width="9.85546875" style="75" bestFit="1" customWidth="1"/>
    <col min="40" max="40" width="13.42578125" style="75" bestFit="1" customWidth="1"/>
    <col min="41" max="41" width="11.85546875" style="75" bestFit="1" customWidth="1"/>
    <col min="42" max="42" width="11.42578125" style="75" bestFit="1" customWidth="1"/>
    <col min="43" max="43" width="13.42578125" style="75" bestFit="1" customWidth="1"/>
    <col min="44" max="44" width="11.42578125" style="75" bestFit="1" customWidth="1"/>
    <col min="45" max="45" width="11.5703125" style="75" bestFit="1" customWidth="1"/>
    <col min="46" max="46" width="13.42578125" style="75" bestFit="1" customWidth="1"/>
    <col min="47" max="47" width="9.85546875" style="75" bestFit="1" customWidth="1"/>
    <col min="48" max="48" width="14.140625" style="75" bestFit="1" customWidth="1"/>
    <col min="49" max="49" width="11.5703125" style="75" bestFit="1" customWidth="1"/>
    <col min="50" max="50" width="10.5703125" style="75" bestFit="1" customWidth="1"/>
    <col min="51" max="51" width="13.85546875" style="75" bestFit="1" customWidth="1"/>
    <col min="52" max="52" width="11.42578125" style="75" bestFit="1" customWidth="1"/>
    <col min="53" max="54" width="11.85546875" style="75" bestFit="1" customWidth="1"/>
    <col min="55" max="55" width="9.85546875" style="75" bestFit="1" customWidth="1"/>
    <col min="56" max="56" width="13.42578125" style="75" bestFit="1" customWidth="1"/>
    <col min="57" max="57" width="11.85546875" style="75" bestFit="1" customWidth="1"/>
    <col min="58" max="58" width="11.42578125" style="75" bestFit="1" customWidth="1"/>
    <col min="59" max="59" width="13.42578125" style="75" bestFit="1" customWidth="1"/>
    <col min="60" max="60" width="11.42578125" style="75" bestFit="1" customWidth="1"/>
    <col min="61" max="61" width="11.5703125" style="75" bestFit="1" customWidth="1"/>
    <col min="62" max="64" width="13.5703125" style="75" bestFit="1" customWidth="1"/>
    <col min="65" max="65" width="12.5703125" style="75" bestFit="1" customWidth="1"/>
    <col min="66" max="66" width="9.42578125" style="75" bestFit="1" customWidth="1"/>
    <col min="67" max="67" width="14.42578125" style="75" bestFit="1" customWidth="1"/>
    <col min="68" max="68" width="11.140625" style="75" bestFit="1" customWidth="1"/>
    <col min="69" max="70" width="11.85546875" style="75" bestFit="1" customWidth="1"/>
    <col min="71" max="71" width="9.85546875" style="75" bestFit="1" customWidth="1"/>
    <col min="72" max="72" width="13.42578125" style="75" bestFit="1" customWidth="1"/>
    <col min="73" max="73" width="11.85546875" style="75" bestFit="1" customWidth="1"/>
    <col min="74" max="74" width="11.42578125" style="75" bestFit="1" customWidth="1"/>
    <col min="75" max="75" width="13.42578125" style="75" bestFit="1" customWidth="1"/>
    <col min="76" max="76" width="11.42578125" style="75" bestFit="1" customWidth="1"/>
    <col min="77" max="77" width="11.5703125" style="75" bestFit="1" customWidth="1"/>
    <col min="78" max="78" width="13.42578125" style="75" bestFit="1" customWidth="1"/>
    <col min="79" max="79" width="12" style="75" bestFit="1" customWidth="1"/>
    <col min="80" max="80" width="14.140625" style="75" bestFit="1" customWidth="1"/>
    <col min="81" max="81" width="12.5703125" style="75" customWidth="1"/>
    <col min="82" max="82" width="10.42578125" style="75" bestFit="1" customWidth="1"/>
    <col min="83" max="83" width="9.42578125" style="75" bestFit="1" customWidth="1"/>
    <col min="84" max="86" width="14.140625" style="75" bestFit="1" customWidth="1"/>
    <col min="87" max="87" width="12.5703125" style="75" bestFit="1" customWidth="1"/>
    <col min="88" max="89" width="15.42578125" style="75" bestFit="1" customWidth="1"/>
    <col min="90" max="90" width="12.42578125" style="75" bestFit="1" customWidth="1"/>
    <col min="91" max="91" width="15.42578125" style="75" bestFit="1" customWidth="1"/>
    <col min="92" max="92" width="14.5703125" style="75" bestFit="1" customWidth="1"/>
    <col min="93" max="93" width="15.42578125" style="75" bestFit="1" customWidth="1"/>
    <col min="94" max="94" width="14.42578125" style="75" customWidth="1"/>
    <col min="95" max="95" width="14.140625" style="75" bestFit="1" customWidth="1"/>
    <col min="96" max="96" width="19.5703125" style="75" customWidth="1"/>
    <col min="97" max="97" width="11.42578125" style="75" bestFit="1" customWidth="1"/>
    <col min="98" max="98" width="10.5703125" style="75" bestFit="1" customWidth="1"/>
    <col min="99" max="99" width="9" style="75" bestFit="1" customWidth="1"/>
    <col min="100" max="100" width="10" style="75" bestFit="1" customWidth="1"/>
    <col min="101" max="101" width="8.5703125" style="75" bestFit="1" customWidth="1"/>
    <col min="102" max="102" width="9.42578125" style="75" bestFit="1" customWidth="1"/>
    <col min="103" max="103" width="11.5703125" style="75" bestFit="1" customWidth="1"/>
    <col min="104" max="104" width="10.42578125" style="75" bestFit="1" customWidth="1"/>
    <col min="105" max="105" width="11.5703125" style="75" bestFit="1" customWidth="1"/>
    <col min="106" max="106" width="11.42578125" style="75" bestFit="1" customWidth="1"/>
    <col min="107" max="107" width="11.5703125" style="75" bestFit="1" customWidth="1"/>
    <col min="108" max="108" width="10.5703125" style="75" bestFit="1" customWidth="1"/>
    <col min="109" max="109" width="11.42578125" style="75" customWidth="1"/>
    <col min="110" max="110" width="10.5703125" style="75" bestFit="1" customWidth="1"/>
    <col min="111" max="111" width="11.42578125" style="75" bestFit="1" customWidth="1"/>
    <col min="112" max="112" width="12" style="75" bestFit="1" customWidth="1"/>
    <col min="113" max="113" width="13.5703125" style="75" bestFit="1" customWidth="1"/>
    <col min="114" max="114" width="10.5703125" style="75" bestFit="1" customWidth="1"/>
    <col min="115" max="115" width="9" style="75" bestFit="1" customWidth="1"/>
    <col min="116" max="116" width="11.42578125" style="75" customWidth="1"/>
    <col min="117" max="118" width="8.5703125" style="75" bestFit="1" customWidth="1"/>
    <col min="119" max="119" width="11.5703125" style="75" bestFit="1" customWidth="1"/>
    <col min="120" max="120" width="10.42578125" style="75" bestFit="1" customWidth="1"/>
    <col min="121" max="121" width="11.5703125" style="75" bestFit="1" customWidth="1"/>
    <col min="122" max="122" width="12.42578125" style="75" bestFit="1" customWidth="1"/>
    <col min="123" max="123" width="11.5703125" style="75" bestFit="1" customWidth="1"/>
    <col min="124" max="124" width="10.5703125" style="75" bestFit="1" customWidth="1"/>
    <col min="125" max="125" width="11.42578125" style="75" customWidth="1"/>
    <col min="126" max="126" width="10.5703125" style="75" bestFit="1" customWidth="1"/>
    <col min="127" max="127" width="11.42578125" style="75" bestFit="1" customWidth="1"/>
    <col min="128" max="128" width="12" style="75" bestFit="1" customWidth="1"/>
    <col min="129" max="129" width="11.5703125" style="75" bestFit="1" customWidth="1"/>
    <col min="130" max="130" width="10.5703125" style="75" bestFit="1" customWidth="1"/>
    <col min="131" max="131" width="9" style="75" bestFit="1" customWidth="1"/>
    <col min="132" max="132" width="10" style="75" bestFit="1" customWidth="1"/>
    <col min="133" max="134" width="8.5703125" style="75" bestFit="1" customWidth="1"/>
    <col min="135" max="135" width="11.5703125" style="75" bestFit="1" customWidth="1"/>
    <col min="136" max="136" width="10.42578125" style="75" bestFit="1" customWidth="1"/>
    <col min="137" max="137" width="11.5703125" style="75" bestFit="1" customWidth="1"/>
    <col min="138" max="138" width="12.42578125" style="75" bestFit="1" customWidth="1"/>
    <col min="139" max="139" width="11.5703125" style="75" bestFit="1" customWidth="1"/>
    <col min="140" max="140" width="10.5703125" style="75" bestFit="1" customWidth="1"/>
    <col min="141" max="141" width="11.42578125" style="75" customWidth="1"/>
    <col min="142" max="142" width="10.5703125" style="75" bestFit="1" customWidth="1"/>
    <col min="143" max="143" width="11.42578125" style="75" bestFit="1" customWidth="1"/>
    <col min="144" max="145" width="12.5703125" style="75" bestFit="1" customWidth="1"/>
    <col min="146" max="146" width="10.5703125" style="75" bestFit="1" customWidth="1"/>
    <col min="147" max="147" width="9" style="75" bestFit="1" customWidth="1"/>
    <col min="148" max="148" width="10" style="75" bestFit="1" customWidth="1"/>
    <col min="149" max="150" width="8.5703125" style="75" bestFit="1" customWidth="1"/>
    <col min="151" max="151" width="11.5703125" style="75" bestFit="1" customWidth="1"/>
    <col min="152" max="152" width="10.42578125" style="75" bestFit="1" customWidth="1"/>
    <col min="153" max="153" width="11.5703125" style="75" bestFit="1" customWidth="1"/>
    <col min="154" max="154" width="12.42578125" style="75" bestFit="1" customWidth="1"/>
    <col min="155" max="155" width="11.5703125" style="75" bestFit="1" customWidth="1"/>
    <col min="156" max="156" width="10.5703125" style="75" bestFit="1" customWidth="1"/>
    <col min="157" max="157" width="11.42578125" style="75" customWidth="1"/>
    <col min="158" max="158" width="10.5703125" style="75" bestFit="1" customWidth="1"/>
    <col min="159" max="159" width="11.5703125" style="75" bestFit="1" customWidth="1"/>
    <col min="160" max="160" width="10.5703125" style="75" bestFit="1" customWidth="1"/>
    <col min="161" max="161" width="10" style="75" bestFit="1" customWidth="1"/>
    <col min="162" max="162" width="10.5703125" style="75" bestFit="1" customWidth="1"/>
    <col min="163" max="163" width="9" style="75" bestFit="1" customWidth="1"/>
    <col min="164" max="164" width="9.5703125" style="75" bestFit="1" customWidth="1"/>
    <col min="165" max="165" width="7.5703125" style="75" bestFit="1" customWidth="1"/>
    <col min="166" max="166" width="8.5703125" style="75" bestFit="1" customWidth="1"/>
    <col min="167" max="167" width="11.5703125" style="75" bestFit="1" customWidth="1"/>
    <col min="168" max="168" width="10.42578125" style="75" bestFit="1" customWidth="1"/>
    <col min="169" max="169" width="11.5703125" style="75" bestFit="1" customWidth="1"/>
    <col min="170" max="170" width="12.42578125" style="75" bestFit="1" customWidth="1"/>
    <col min="171" max="171" width="11.5703125" style="75" bestFit="1" customWidth="1"/>
    <col min="172" max="172" width="10.5703125" style="75" bestFit="1" customWidth="1"/>
    <col min="173" max="173" width="11.42578125" style="75" bestFit="1" customWidth="1"/>
    <col min="174" max="174" width="10.5703125" style="75" bestFit="1" customWidth="1"/>
    <col min="175" max="175" width="12.42578125" style="75" bestFit="1" customWidth="1"/>
    <col min="176" max="177" width="8.5703125" style="75"/>
    <col min="178" max="178" width="10.5703125" style="75" bestFit="1" customWidth="1"/>
    <col min="179" max="179" width="9" style="75" bestFit="1" customWidth="1"/>
    <col min="180" max="180" width="9.5703125" style="75" bestFit="1" customWidth="1"/>
    <col min="181" max="181" width="7.5703125" style="75" bestFit="1" customWidth="1"/>
    <col min="182" max="182" width="8.5703125" style="75" bestFit="1" customWidth="1"/>
    <col min="183" max="183" width="11.5703125" style="75" bestFit="1" customWidth="1"/>
    <col min="184" max="184" width="10.42578125" style="75" bestFit="1" customWidth="1"/>
    <col min="185" max="185" width="11.5703125" style="75" bestFit="1" customWidth="1"/>
    <col min="186" max="186" width="12.42578125" style="75" bestFit="1" customWidth="1"/>
    <col min="187" max="187" width="11.5703125" style="75" bestFit="1" customWidth="1"/>
    <col min="188" max="188" width="10.5703125" style="75" bestFit="1" customWidth="1"/>
    <col min="189" max="189" width="11.42578125" style="75" bestFit="1" customWidth="1"/>
    <col min="190" max="190" width="10.5703125" style="75" bestFit="1" customWidth="1"/>
    <col min="191" max="191" width="12.42578125" style="75" bestFit="1" customWidth="1"/>
    <col min="192" max="193" width="8.5703125" style="75"/>
    <col min="194" max="194" width="10.5703125" style="75" bestFit="1" customWidth="1"/>
    <col min="195" max="195" width="9" style="75" bestFit="1" customWidth="1"/>
    <col min="196" max="196" width="9.5703125" style="75" bestFit="1" customWidth="1"/>
    <col min="197" max="197" width="7.5703125" style="75" bestFit="1" customWidth="1"/>
    <col min="198" max="198" width="8.5703125" style="75" bestFit="1" customWidth="1"/>
    <col min="199" max="199" width="11.5703125" style="75" bestFit="1" customWidth="1"/>
    <col min="200" max="200" width="10.42578125" style="75" bestFit="1" customWidth="1"/>
    <col min="201" max="201" width="11.5703125" style="75" bestFit="1" customWidth="1"/>
    <col min="202" max="202" width="12.42578125" style="75" bestFit="1" customWidth="1"/>
    <col min="203" max="203" width="11.5703125" style="75" bestFit="1" customWidth="1"/>
    <col min="204" max="204" width="10.5703125" style="75" bestFit="1" customWidth="1"/>
    <col min="205" max="205" width="11.42578125" style="75" bestFit="1" customWidth="1"/>
    <col min="206" max="206" width="10.5703125" style="75" bestFit="1" customWidth="1"/>
    <col min="207" max="207" width="12.42578125" style="75" bestFit="1" customWidth="1"/>
    <col min="208" max="209" width="8.5703125" style="75"/>
    <col min="210" max="210" width="10.5703125" style="75" bestFit="1" customWidth="1"/>
    <col min="211" max="211" width="8.5703125" style="75"/>
    <col min="212" max="212" width="9.5703125" style="75" bestFit="1" customWidth="1"/>
    <col min="213" max="214" width="8.5703125" style="75"/>
    <col min="215" max="215" width="11.5703125" style="75" bestFit="1" customWidth="1"/>
    <col min="216" max="216" width="10.42578125" style="75" bestFit="1" customWidth="1"/>
    <col min="217" max="217" width="11.5703125" style="75" bestFit="1" customWidth="1"/>
    <col min="218" max="218" width="12.42578125" style="75" bestFit="1" customWidth="1"/>
    <col min="219" max="219" width="11.5703125" style="75" bestFit="1" customWidth="1"/>
    <col min="220" max="220" width="10.5703125" style="75" bestFit="1" customWidth="1"/>
    <col min="221" max="221" width="11.42578125" style="75" bestFit="1" customWidth="1"/>
    <col min="222" max="222" width="10.5703125" style="75" bestFit="1" customWidth="1"/>
    <col min="223" max="223" width="12.42578125" style="75" bestFit="1" customWidth="1"/>
    <col min="224" max="225" width="8.5703125" style="75"/>
    <col min="226" max="226" width="10.5703125" style="75" bestFit="1" customWidth="1"/>
    <col min="227" max="227" width="9" style="75" bestFit="1" customWidth="1"/>
    <col min="228" max="228" width="9.5703125" style="75" bestFit="1" customWidth="1"/>
    <col min="229" max="229" width="7.5703125" style="75" bestFit="1" customWidth="1"/>
    <col min="230" max="230" width="8.5703125" style="75" bestFit="1" customWidth="1"/>
    <col min="231" max="231" width="11.5703125" style="75" bestFit="1" customWidth="1"/>
    <col min="232" max="232" width="10.42578125" style="75" bestFit="1" customWidth="1"/>
    <col min="233" max="233" width="11.5703125" style="75" bestFit="1" customWidth="1"/>
    <col min="234" max="234" width="12.42578125" style="75" bestFit="1" customWidth="1"/>
    <col min="235" max="235" width="11.5703125" style="75" bestFit="1" customWidth="1"/>
    <col min="236" max="236" width="10.5703125" style="75" bestFit="1" customWidth="1"/>
    <col min="237" max="237" width="11.42578125" style="75" bestFit="1" customWidth="1"/>
    <col min="238" max="238" width="10.5703125" style="75" bestFit="1" customWidth="1"/>
    <col min="239" max="239" width="12.42578125" style="75" bestFit="1" customWidth="1"/>
    <col min="240" max="240" width="4.85546875" style="75" bestFit="1" customWidth="1"/>
    <col min="241" max="241" width="8.5703125" style="75"/>
    <col min="242" max="242" width="10.5703125" style="75" bestFit="1" customWidth="1"/>
    <col min="243" max="243" width="9" style="75" bestFit="1" customWidth="1"/>
    <col min="244" max="244" width="9.5703125" style="75" bestFit="1" customWidth="1"/>
    <col min="245" max="245" width="7.5703125" style="75" bestFit="1" customWidth="1"/>
    <col min="246" max="246" width="8.5703125" style="75" bestFit="1" customWidth="1"/>
    <col min="247" max="247" width="11.5703125" style="75" bestFit="1" customWidth="1"/>
    <col min="248" max="248" width="10.42578125" style="75" bestFit="1" customWidth="1"/>
    <col min="249" max="249" width="11.5703125" style="75" bestFit="1" customWidth="1"/>
    <col min="250" max="250" width="12.42578125" style="75" bestFit="1" customWidth="1"/>
    <col min="251" max="251" width="11.5703125" style="75" bestFit="1" customWidth="1"/>
    <col min="252" max="252" width="10.5703125" style="75" bestFit="1" customWidth="1"/>
    <col min="253" max="253" width="11.42578125" style="75" customWidth="1"/>
    <col min="254" max="254" width="10.5703125" style="75" bestFit="1" customWidth="1"/>
    <col min="255" max="255" width="12.42578125" style="75" bestFit="1" customWidth="1"/>
    <col min="256" max="257" width="8.5703125" style="75"/>
    <col min="258" max="259" width="10.5703125" style="75" bestFit="1" customWidth="1"/>
    <col min="260" max="260" width="9.5703125" style="75" bestFit="1" customWidth="1"/>
    <col min="261" max="261" width="7.5703125" style="75" bestFit="1" customWidth="1"/>
    <col min="262" max="262" width="8.5703125" style="75" bestFit="1" customWidth="1"/>
    <col min="263" max="263" width="11.5703125" style="75" bestFit="1" customWidth="1"/>
    <col min="264" max="264" width="10.42578125" style="75" bestFit="1" customWidth="1"/>
    <col min="265" max="265" width="11.5703125" style="75" bestFit="1" customWidth="1"/>
    <col min="266" max="266" width="12.42578125" style="75" bestFit="1" customWidth="1"/>
    <col min="267" max="267" width="11.5703125" style="75" bestFit="1" customWidth="1"/>
    <col min="268" max="268" width="10.5703125" style="75" bestFit="1" customWidth="1"/>
    <col min="269" max="269" width="11.42578125" style="75" bestFit="1" customWidth="1"/>
    <col min="270" max="270" width="10.5703125" style="75" bestFit="1" customWidth="1"/>
    <col min="271" max="271" width="12.42578125" style="75" bestFit="1" customWidth="1"/>
    <col min="272" max="272" width="4.85546875" style="75" bestFit="1" customWidth="1"/>
    <col min="273" max="273" width="8.5703125" style="75"/>
    <col min="274" max="275" width="10.5703125" style="75" bestFit="1" customWidth="1"/>
    <col min="276" max="276" width="9.5703125" style="75" bestFit="1" customWidth="1"/>
    <col min="277" max="277" width="7.5703125" style="75" bestFit="1" customWidth="1"/>
    <col min="278" max="278" width="8.5703125" style="75" bestFit="1" customWidth="1"/>
    <col min="279" max="279" width="11.5703125" style="75" bestFit="1" customWidth="1"/>
    <col min="280" max="280" width="10.42578125" style="75" bestFit="1" customWidth="1"/>
    <col min="281" max="281" width="11.5703125" style="75" bestFit="1" customWidth="1"/>
    <col min="282" max="282" width="12.42578125" style="75" bestFit="1" customWidth="1"/>
    <col min="283" max="283" width="11.5703125" style="75" bestFit="1" customWidth="1"/>
    <col min="284" max="284" width="10.5703125" style="75" bestFit="1" customWidth="1"/>
    <col min="285" max="285" width="11.42578125" style="75" customWidth="1"/>
    <col min="286" max="286" width="10.5703125" style="75" bestFit="1" customWidth="1"/>
    <col min="287" max="287" width="12.42578125" style="75" bestFit="1" customWidth="1"/>
    <col min="288" max="290" width="8.5703125" style="75"/>
    <col min="291" max="291" width="10.5703125" style="75" bestFit="1" customWidth="1"/>
    <col min="292" max="292" width="9.5703125" style="75" bestFit="1" customWidth="1"/>
    <col min="293" max="293" width="8.5703125" style="75"/>
    <col min="294" max="294" width="8.5703125" style="75" bestFit="1" customWidth="1"/>
    <col min="295" max="295" width="11.5703125" style="75" bestFit="1" customWidth="1"/>
    <col min="296" max="296" width="10.42578125" style="75" bestFit="1" customWidth="1"/>
    <col min="297" max="297" width="11.5703125" style="75" bestFit="1" customWidth="1"/>
    <col min="298" max="298" width="12.42578125" style="75" bestFit="1" customWidth="1"/>
    <col min="299" max="299" width="11.5703125" style="75" bestFit="1" customWidth="1"/>
    <col min="300" max="300" width="10.5703125" style="75" bestFit="1" customWidth="1"/>
    <col min="301" max="301" width="11.42578125" style="75" bestFit="1" customWidth="1"/>
    <col min="302" max="302" width="10.5703125" style="75" bestFit="1" customWidth="1"/>
    <col min="303" max="303" width="12.42578125" style="75" bestFit="1" customWidth="1"/>
    <col min="304" max="306" width="8.5703125" style="75"/>
    <col min="307" max="307" width="10.5703125" style="75" bestFit="1" customWidth="1"/>
    <col min="308" max="308" width="9.5703125" style="75" bestFit="1" customWidth="1"/>
    <col min="309" max="310" width="8.5703125" style="75"/>
    <col min="311" max="311" width="11.5703125" style="75" bestFit="1" customWidth="1"/>
    <col min="312" max="312" width="10.42578125" style="75" bestFit="1" customWidth="1"/>
    <col min="313" max="313" width="11.5703125" style="75" bestFit="1" customWidth="1"/>
    <col min="314" max="314" width="12.42578125" style="75" bestFit="1" customWidth="1"/>
    <col min="315" max="315" width="11.5703125" style="75" bestFit="1" customWidth="1"/>
    <col min="316" max="316" width="10.5703125" style="75" bestFit="1" customWidth="1"/>
    <col min="317" max="317" width="11.42578125" style="75" customWidth="1"/>
    <col min="318" max="318" width="10.5703125" style="75" bestFit="1" customWidth="1"/>
    <col min="319" max="319" width="12.42578125" style="75" bestFit="1" customWidth="1"/>
    <col min="320" max="321" width="8.5703125" style="75"/>
    <col min="322" max="322" width="9" style="75" bestFit="1" customWidth="1"/>
    <col min="323" max="323" width="10.5703125" style="75" bestFit="1" customWidth="1"/>
    <col min="324" max="324" width="9.5703125" style="75" bestFit="1" customWidth="1"/>
    <col min="325" max="325" width="7.5703125" style="75" bestFit="1" customWidth="1"/>
    <col min="326" max="326" width="8.5703125" style="75" bestFit="1" customWidth="1"/>
    <col min="327" max="327" width="11.5703125" style="75" bestFit="1" customWidth="1"/>
    <col min="328" max="328" width="10.42578125" style="75" bestFit="1" customWidth="1"/>
    <col min="329" max="329" width="11.5703125" style="75" bestFit="1" customWidth="1"/>
    <col min="330" max="330" width="12.42578125" style="75" bestFit="1" customWidth="1"/>
    <col min="331" max="331" width="11.5703125" style="75" bestFit="1" customWidth="1"/>
    <col min="332" max="332" width="10.5703125" style="75" bestFit="1" customWidth="1"/>
    <col min="333" max="333" width="11.42578125" style="75" bestFit="1" customWidth="1"/>
    <col min="334" max="334" width="10.5703125" style="75" bestFit="1" customWidth="1"/>
    <col min="335" max="335" width="12.42578125" style="75" bestFit="1" customWidth="1"/>
    <col min="336" max="336" width="7.42578125" style="75" customWidth="1"/>
    <col min="337" max="16384" width="8.5703125" style="75"/>
  </cols>
  <sheetData>
    <row r="1" spans="1:8" x14ac:dyDescent="0.25">
      <c r="A1" s="76" t="s">
        <v>368</v>
      </c>
    </row>
    <row r="2" spans="1:8" x14ac:dyDescent="0.25">
      <c r="A2" s="45" t="s">
        <v>369</v>
      </c>
    </row>
    <row r="3" spans="1:8" x14ac:dyDescent="0.25">
      <c r="A3" s="78" t="s">
        <v>370</v>
      </c>
    </row>
    <row r="4" spans="1:8" x14ac:dyDescent="0.25">
      <c r="A4" s="79" t="s">
        <v>379</v>
      </c>
    </row>
    <row r="5" spans="1:8" ht="15.75" thickBot="1" x14ac:dyDescent="0.3"/>
    <row r="6" spans="1:8" x14ac:dyDescent="0.25">
      <c r="A6" s="417" t="s">
        <v>284</v>
      </c>
      <c r="B6" s="418"/>
      <c r="C6" s="418"/>
      <c r="D6" s="418"/>
      <c r="E6" s="418"/>
      <c r="F6" s="418"/>
      <c r="G6" s="419"/>
    </row>
    <row r="7" spans="1:8" ht="12.6" customHeight="1" thickBot="1" x14ac:dyDescent="0.3">
      <c r="A7" s="414" t="s">
        <v>183</v>
      </c>
      <c r="B7" s="415"/>
      <c r="C7" s="415"/>
      <c r="D7" s="415"/>
      <c r="E7" s="415"/>
      <c r="F7" s="415"/>
      <c r="G7" s="416"/>
    </row>
    <row r="8" spans="1:8" x14ac:dyDescent="0.25">
      <c r="A8" s="289"/>
      <c r="B8" s="290">
        <v>-1</v>
      </c>
      <c r="C8" s="290">
        <f>B8-1</f>
        <v>-2</v>
      </c>
      <c r="D8" s="290">
        <f>C8-1</f>
        <v>-3</v>
      </c>
      <c r="E8" s="290">
        <f>D8-1</f>
        <v>-4</v>
      </c>
      <c r="F8" s="290">
        <f>E8-1</f>
        <v>-5</v>
      </c>
      <c r="G8" s="290">
        <f>F8-1</f>
        <v>-6</v>
      </c>
      <c r="H8" s="82"/>
    </row>
    <row r="9" spans="1:8" x14ac:dyDescent="0.25">
      <c r="A9" s="291" t="s">
        <v>3</v>
      </c>
      <c r="B9" s="291"/>
      <c r="C9" s="291"/>
      <c r="D9" s="291" t="s">
        <v>4</v>
      </c>
      <c r="E9" s="291" t="s">
        <v>5</v>
      </c>
      <c r="F9" s="291" t="s">
        <v>5</v>
      </c>
      <c r="G9" s="291" t="s">
        <v>6</v>
      </c>
      <c r="H9" s="82"/>
    </row>
    <row r="10" spans="1:8" ht="15.75" thickBot="1" x14ac:dyDescent="0.3">
      <c r="A10" s="145" t="s">
        <v>7</v>
      </c>
      <c r="B10" s="145" t="s">
        <v>8</v>
      </c>
      <c r="C10" s="145" t="s">
        <v>9</v>
      </c>
      <c r="D10" s="145" t="s">
        <v>10</v>
      </c>
      <c r="E10" s="145" t="s">
        <v>8</v>
      </c>
      <c r="F10" s="145" t="s">
        <v>9</v>
      </c>
      <c r="G10" s="145" t="s">
        <v>10</v>
      </c>
      <c r="H10" s="2"/>
    </row>
    <row r="11" spans="1:8" x14ac:dyDescent="0.25">
      <c r="A11" s="93"/>
      <c r="B11" s="101"/>
      <c r="C11" s="101"/>
      <c r="D11" s="172">
        <f>'Tables 26a,b-MasterInputs'!D13</f>
        <v>1000</v>
      </c>
      <c r="E11" s="101"/>
      <c r="F11" s="101"/>
      <c r="G11" s="173">
        <f>D11*'Tables 26a,b-MasterInputs'!D14</f>
        <v>100000</v>
      </c>
    </row>
    <row r="12" spans="1:8" x14ac:dyDescent="0.25">
      <c r="A12" s="163">
        <v>1</v>
      </c>
      <c r="B12" s="119">
        <f>'Tables 26a,b-MasterInputs'!I56*D11</f>
        <v>0.8</v>
      </c>
      <c r="C12" s="119">
        <f>'Tables 26a,b-MasterInputs'!J56*(D11-B12)</f>
        <v>149.88</v>
      </c>
      <c r="D12" s="119">
        <f t="shared" ref="D12:D31" si="0">D11-B12-C12</f>
        <v>849.32</v>
      </c>
      <c r="E12" s="174">
        <f>'Tables 26a,b-MasterInputs'!D$14*B12</f>
        <v>80</v>
      </c>
      <c r="F12" s="174">
        <f>'Tables 26a,b-MasterInputs'!D$14*C12</f>
        <v>14988</v>
      </c>
      <c r="G12" s="175">
        <f t="shared" ref="G12:G31" si="1">G11-E12-F12</f>
        <v>84932</v>
      </c>
      <c r="H12" s="84"/>
    </row>
    <row r="13" spans="1:8" x14ac:dyDescent="0.25">
      <c r="A13" s="163">
        <f t="shared" ref="A13:A31" si="2">A12+1</f>
        <v>2</v>
      </c>
      <c r="B13" s="119">
        <f>'Tables 26a,b-MasterInputs'!I57*D12</f>
        <v>0.93425200000000008</v>
      </c>
      <c r="C13" s="119">
        <f>'Tables 26a,b-MasterInputs'!J57*(D12-B13)</f>
        <v>101.80628976</v>
      </c>
      <c r="D13" s="119">
        <f t="shared" si="0"/>
        <v>746.57945824000001</v>
      </c>
      <c r="E13" s="174">
        <f>'Tables 26a,b-MasterInputs'!D$14*B13</f>
        <v>93.425200000000004</v>
      </c>
      <c r="F13" s="174">
        <f>'Tables 26a,b-MasterInputs'!D$14*C13</f>
        <v>10180.628976</v>
      </c>
      <c r="G13" s="175">
        <f t="shared" si="1"/>
        <v>74657.945823999995</v>
      </c>
      <c r="H13" s="84"/>
    </row>
    <row r="14" spans="1:8" x14ac:dyDescent="0.25">
      <c r="A14" s="163">
        <f t="shared" si="2"/>
        <v>3</v>
      </c>
      <c r="B14" s="119">
        <f>'Tables 26a,b-MasterInputs'!I58*D13</f>
        <v>1.0676086252832</v>
      </c>
      <c r="C14" s="119">
        <f>'Tables 26a,b-MasterInputs'!J58*(D13-B14)</f>
        <v>74.551184961471677</v>
      </c>
      <c r="D14" s="119">
        <f t="shared" si="0"/>
        <v>670.96066465324509</v>
      </c>
      <c r="E14" s="174">
        <f>'Tables 26a,b-MasterInputs'!D$14*B14</f>
        <v>106.76086252832</v>
      </c>
      <c r="F14" s="174">
        <f>'Tables 26a,b-MasterInputs'!D$14*C14</f>
        <v>7455.1184961471681</v>
      </c>
      <c r="G14" s="175">
        <f t="shared" si="1"/>
        <v>67096.066465324504</v>
      </c>
      <c r="H14" s="84"/>
    </row>
    <row r="15" spans="1:8" x14ac:dyDescent="0.25">
      <c r="A15" s="163">
        <f t="shared" si="2"/>
        <v>4</v>
      </c>
      <c r="B15" s="119">
        <f>'Tables 26a,b-MasterInputs'!I59*D14</f>
        <v>1.147342736557049</v>
      </c>
      <c r="C15" s="119">
        <f>'Tables 26a,b-MasterInputs'!J59*(D14-B15)</f>
        <v>60.283198972501928</v>
      </c>
      <c r="D15" s="119">
        <f t="shared" si="0"/>
        <v>609.53012294418613</v>
      </c>
      <c r="E15" s="174">
        <f>'Tables 26a,b-MasterInputs'!D$14*B15</f>
        <v>114.7342736557049</v>
      </c>
      <c r="F15" s="174">
        <f>'Tables 26a,b-MasterInputs'!D$14*C15</f>
        <v>6028.3198972501932</v>
      </c>
      <c r="G15" s="175">
        <f t="shared" si="1"/>
        <v>60953.012294418608</v>
      </c>
      <c r="H15" s="84"/>
    </row>
    <row r="16" spans="1:8" x14ac:dyDescent="0.25">
      <c r="A16" s="163">
        <f t="shared" si="2"/>
        <v>5</v>
      </c>
      <c r="B16" s="119">
        <f>'Tables 26a,b-MasterInputs'!I60*D15</f>
        <v>1.1824884385117211</v>
      </c>
      <c r="C16" s="119">
        <f>'Tables 26a,b-MasterInputs'!J60*(D15-B16)</f>
        <v>48.667810760453953</v>
      </c>
      <c r="D16" s="119">
        <f t="shared" si="0"/>
        <v>559.67982374522046</v>
      </c>
      <c r="E16" s="174">
        <f>'Tables 26a,b-MasterInputs'!D$14*B16</f>
        <v>118.24884385117211</v>
      </c>
      <c r="F16" s="174">
        <f>'Tables 26a,b-MasterInputs'!D$14*C16</f>
        <v>4866.7810760453949</v>
      </c>
      <c r="G16" s="175">
        <f t="shared" si="1"/>
        <v>55967.982374522042</v>
      </c>
      <c r="H16" s="84"/>
    </row>
    <row r="17" spans="1:116" x14ac:dyDescent="0.25">
      <c r="A17" s="163">
        <f t="shared" si="2"/>
        <v>6</v>
      </c>
      <c r="B17" s="119">
        <f>'Tables 26a,b-MasterInputs'!I61*D16</f>
        <v>1.2424892087143895</v>
      </c>
      <c r="C17" s="119">
        <f>'Tables 26a,b-MasterInputs'!J61*(D16-B17)</f>
        <v>39.090613417555431</v>
      </c>
      <c r="D17" s="119">
        <f t="shared" si="0"/>
        <v>519.34672111895065</v>
      </c>
      <c r="E17" s="174">
        <f>'Tables 26a,b-MasterInputs'!D$14*B17</f>
        <v>124.24892087143895</v>
      </c>
      <c r="F17" s="174">
        <f>'Tables 26a,b-MasterInputs'!D$14*C17</f>
        <v>3909.0613417555433</v>
      </c>
      <c r="G17" s="175">
        <f t="shared" si="1"/>
        <v>51934.672111895059</v>
      </c>
      <c r="H17" s="84"/>
      <c r="CE17" s="85"/>
      <c r="CF17" s="85"/>
      <c r="CG17" s="85"/>
      <c r="CH17" s="85"/>
      <c r="CI17" s="85"/>
      <c r="CJ17" s="85"/>
      <c r="CK17" s="85"/>
      <c r="CL17" s="85"/>
      <c r="CM17" s="85"/>
      <c r="CN17" s="85"/>
    </row>
    <row r="18" spans="1:116" x14ac:dyDescent="0.25">
      <c r="A18" s="163">
        <f t="shared" si="2"/>
        <v>7</v>
      </c>
      <c r="B18" s="119">
        <f>'Tables 26a,b-MasterInputs'!I62*D17</f>
        <v>1.3139472044309453</v>
      </c>
      <c r="C18" s="119">
        <f>'Tables 26a,b-MasterInputs'!J62*(D17-B18)</f>
        <v>31.08196643487118</v>
      </c>
      <c r="D18" s="119">
        <f t="shared" si="0"/>
        <v>486.95080747964852</v>
      </c>
      <c r="E18" s="174">
        <f>'Tables 26a,b-MasterInputs'!D$14*B18</f>
        <v>131.39472044309451</v>
      </c>
      <c r="F18" s="174">
        <f>'Tables 26a,b-MasterInputs'!D$14*C18</f>
        <v>3108.1966434871179</v>
      </c>
      <c r="G18" s="175">
        <f t="shared" si="1"/>
        <v>48695.080747964843</v>
      </c>
      <c r="H18" s="84"/>
      <c r="CE18" s="85"/>
      <c r="CF18" s="85"/>
      <c r="CG18" s="85"/>
      <c r="CH18" s="85"/>
      <c r="CI18" s="85"/>
      <c r="CJ18" s="85"/>
      <c r="CK18" s="85"/>
      <c r="CL18" s="85"/>
      <c r="CM18" s="85"/>
      <c r="CN18" s="85"/>
    </row>
    <row r="19" spans="1:116" x14ac:dyDescent="0.25">
      <c r="A19" s="163">
        <f t="shared" si="2"/>
        <v>8</v>
      </c>
      <c r="B19" s="119">
        <f>'Tables 26a,b-MasterInputs'!I63*D18</f>
        <v>1.3780707851674052</v>
      </c>
      <c r="C19" s="119">
        <f>'Tables 26a,b-MasterInputs'!J63*(D18-B19)</f>
        <v>24.278636834724058</v>
      </c>
      <c r="D19" s="119">
        <f t="shared" si="0"/>
        <v>461.29409985975707</v>
      </c>
      <c r="E19" s="174">
        <f>'Tables 26a,b-MasterInputs'!D$14*B19</f>
        <v>137.80707851674052</v>
      </c>
      <c r="F19" s="174">
        <f>'Tables 26a,b-MasterInputs'!D$14*C19</f>
        <v>2427.8636834724057</v>
      </c>
      <c r="G19" s="175">
        <f t="shared" si="1"/>
        <v>46129.409985975697</v>
      </c>
      <c r="H19" s="84"/>
      <c r="CE19" s="85"/>
      <c r="CF19" s="85"/>
      <c r="CG19" s="85"/>
      <c r="CH19" s="85"/>
      <c r="CI19" s="85"/>
      <c r="CJ19" s="85"/>
      <c r="CK19" s="85"/>
      <c r="CL19" s="85"/>
      <c r="CM19" s="85"/>
      <c r="CN19" s="85"/>
    </row>
    <row r="20" spans="1:116" x14ac:dyDescent="0.25">
      <c r="A20" s="163">
        <f t="shared" si="2"/>
        <v>9</v>
      </c>
      <c r="B20" s="119">
        <f>'Tables 26a,b-MasterInputs'!I64*D19</f>
        <v>1.4346246505638445</v>
      </c>
      <c r="C20" s="119">
        <f>'Tables 26a,b-MasterInputs'!J64*(D19-B20)</f>
        <v>18.394379008367732</v>
      </c>
      <c r="D20" s="119">
        <f t="shared" si="0"/>
        <v>441.46509620082554</v>
      </c>
      <c r="E20" s="174">
        <f>'Tables 26a,b-MasterInputs'!D$14*B20</f>
        <v>143.46246505638445</v>
      </c>
      <c r="F20" s="174">
        <f>'Tables 26a,b-MasterInputs'!D$14*C20</f>
        <v>1839.4379008367732</v>
      </c>
      <c r="G20" s="175">
        <f t="shared" si="1"/>
        <v>44146.509620082536</v>
      </c>
      <c r="H20" s="84"/>
      <c r="CE20" s="85"/>
      <c r="CF20" s="85"/>
      <c r="CG20" s="85"/>
      <c r="CH20" s="85"/>
      <c r="CI20" s="85"/>
      <c r="CJ20" s="85"/>
      <c r="CK20" s="85"/>
      <c r="CL20" s="85"/>
      <c r="CM20" s="85"/>
      <c r="CN20" s="85"/>
    </row>
    <row r="21" spans="1:116" x14ac:dyDescent="0.25">
      <c r="A21" s="163">
        <f t="shared" si="2"/>
        <v>10</v>
      </c>
      <c r="B21" s="119">
        <f>'Tables 26a,b-MasterInputs'!I65*D20</f>
        <v>1.523054581892848</v>
      </c>
      <c r="C21" s="119">
        <f>'Tables 26a,b-MasterInputs'!J65*(D20-B21)</f>
        <v>17.59768166475731</v>
      </c>
      <c r="D21" s="119">
        <f t="shared" si="0"/>
        <v>422.34435995417539</v>
      </c>
      <c r="E21" s="174">
        <f>'Tables 26a,b-MasterInputs'!D$14*B21</f>
        <v>152.30545818928479</v>
      </c>
      <c r="F21" s="174">
        <f>'Tables 26a,b-MasterInputs'!D$14*C21</f>
        <v>1759.7681664757311</v>
      </c>
      <c r="G21" s="175">
        <f t="shared" si="1"/>
        <v>42234.435995417516</v>
      </c>
      <c r="H21" s="84"/>
    </row>
    <row r="22" spans="1:116" x14ac:dyDescent="0.25">
      <c r="A22" s="163">
        <f t="shared" si="2"/>
        <v>11</v>
      </c>
      <c r="B22" s="119">
        <f>'Tables 26a,b-MasterInputs'!I66*D21</f>
        <v>1.6513664474208258</v>
      </c>
      <c r="C22" s="119">
        <f>'Tables 26a,b-MasterInputs'!J66*(D21-B22)</f>
        <v>16.827719740270183</v>
      </c>
      <c r="D22" s="119">
        <f t="shared" si="0"/>
        <v>403.86527376648439</v>
      </c>
      <c r="E22" s="174">
        <f>'Tables 26a,b-MasterInputs'!D$14*B22</f>
        <v>165.13664474208258</v>
      </c>
      <c r="F22" s="174">
        <f>'Tables 26a,b-MasterInputs'!D$14*C22</f>
        <v>1682.7719740270184</v>
      </c>
      <c r="G22" s="175">
        <f t="shared" si="1"/>
        <v>40386.527376648417</v>
      </c>
      <c r="H22" s="84"/>
    </row>
    <row r="23" spans="1:116" x14ac:dyDescent="0.25">
      <c r="A23" s="163">
        <f t="shared" si="2"/>
        <v>12</v>
      </c>
      <c r="B23" s="119">
        <f>'Tables 26a,b-MasterInputs'!I67*D22</f>
        <v>1.8537416065881636</v>
      </c>
      <c r="C23" s="119">
        <f>'Tables 26a,b-MasterInputs'!J67*(D22-B23)</f>
        <v>16.080461286395849</v>
      </c>
      <c r="D23" s="119">
        <f t="shared" si="0"/>
        <v>385.93107087350035</v>
      </c>
      <c r="E23" s="174">
        <f>'Tables 26a,b-MasterInputs'!D$14*B23</f>
        <v>185.37416065881635</v>
      </c>
      <c r="F23" s="174">
        <f>'Tables 26a,b-MasterInputs'!D$14*C23</f>
        <v>1608.0461286395848</v>
      </c>
      <c r="G23" s="175">
        <f t="shared" si="1"/>
        <v>38593.107087350014</v>
      </c>
      <c r="H23" s="84"/>
    </row>
    <row r="24" spans="1:116" x14ac:dyDescent="0.25">
      <c r="A24" s="163">
        <f t="shared" si="2"/>
        <v>13</v>
      </c>
      <c r="B24" s="119">
        <f>'Tables 26a,b-MasterInputs'!I68*D23</f>
        <v>2.0763091612994318</v>
      </c>
      <c r="C24" s="119">
        <f>'Tables 26a,b-MasterInputs'!J68*(D23-B24)</f>
        <v>15.354190468488037</v>
      </c>
      <c r="D24" s="119">
        <f t="shared" si="0"/>
        <v>368.5005712437129</v>
      </c>
      <c r="E24" s="174">
        <f>'Tables 26a,b-MasterInputs'!D$14*B24</f>
        <v>207.63091612994319</v>
      </c>
      <c r="F24" s="174">
        <f>'Tables 26a,b-MasterInputs'!D$14*C24</f>
        <v>1535.4190468488036</v>
      </c>
      <c r="G24" s="175">
        <f t="shared" si="1"/>
        <v>36850.057124371269</v>
      </c>
      <c r="H24" s="84"/>
    </row>
    <row r="25" spans="1:116" x14ac:dyDescent="0.25">
      <c r="A25" s="163">
        <f t="shared" si="2"/>
        <v>14</v>
      </c>
      <c r="B25" s="119">
        <f>'Tables 26a,b-MasterInputs'!I69*D24</f>
        <v>2.2699635188612715</v>
      </c>
      <c r="C25" s="119">
        <f>'Tables 26a,b-MasterInputs'!J69*(D24-B25)</f>
        <v>14.649224308994064</v>
      </c>
      <c r="D25" s="119">
        <f t="shared" si="0"/>
        <v>351.58138341585754</v>
      </c>
      <c r="E25" s="174">
        <f>'Tables 26a,b-MasterInputs'!D$14*B25</f>
        <v>226.99635188612714</v>
      </c>
      <c r="F25" s="174">
        <f>'Tables 26a,b-MasterInputs'!D$14*C25</f>
        <v>1464.9224308994064</v>
      </c>
      <c r="G25" s="175">
        <f t="shared" si="1"/>
        <v>35158.138341585734</v>
      </c>
      <c r="H25" s="84"/>
    </row>
    <row r="26" spans="1:116" x14ac:dyDescent="0.25">
      <c r="A26" s="163">
        <f t="shared" si="2"/>
        <v>15</v>
      </c>
      <c r="B26" s="119">
        <f>'Tables 26a,b-MasterInputs'!I70*D25</f>
        <v>2.4364589870718931</v>
      </c>
      <c r="C26" s="119">
        <f>'Tables 26a,b-MasterInputs'!J70*(D25-B26)</f>
        <v>13.965796977151427</v>
      </c>
      <c r="D26" s="119">
        <f t="shared" si="0"/>
        <v>335.17912745163426</v>
      </c>
      <c r="E26" s="174">
        <f>'Tables 26a,b-MasterInputs'!D$14*B26</f>
        <v>243.6458987071893</v>
      </c>
      <c r="F26" s="174">
        <f>'Tables 26a,b-MasterInputs'!D$14*C26</f>
        <v>1396.5796977151426</v>
      </c>
      <c r="G26" s="175">
        <f t="shared" si="1"/>
        <v>33517.912745163405</v>
      </c>
      <c r="H26" s="84"/>
      <c r="AY26" s="88"/>
      <c r="AZ26" s="88"/>
      <c r="BA26" s="88"/>
      <c r="BB26" s="88"/>
      <c r="BC26" s="88"/>
      <c r="BD26" s="88"/>
      <c r="BE26" s="88"/>
      <c r="BF26" s="88"/>
      <c r="BG26" s="88"/>
      <c r="BH26" s="88"/>
      <c r="BI26" s="88"/>
      <c r="BJ26" s="88"/>
      <c r="BK26" s="88"/>
    </row>
    <row r="27" spans="1:116" x14ac:dyDescent="0.25">
      <c r="A27" s="163">
        <f t="shared" si="2"/>
        <v>16</v>
      </c>
      <c r="B27" s="119">
        <f>'Tables 26a,b-MasterInputs'!I71*D26</f>
        <v>2.6043418202991981</v>
      </c>
      <c r="C27" s="119">
        <f>'Tables 26a,b-MasterInputs'!J71*(D26-B27)</f>
        <v>13.302991425253401</v>
      </c>
      <c r="D27" s="119">
        <f t="shared" si="0"/>
        <v>319.27179420608161</v>
      </c>
      <c r="E27" s="174">
        <f>'Tables 26a,b-MasterInputs'!D$14*B27</f>
        <v>260.43418202991984</v>
      </c>
      <c r="F27" s="174">
        <f>'Tables 26a,b-MasterInputs'!D$14*C27</f>
        <v>1330.2991425253401</v>
      </c>
      <c r="G27" s="175">
        <f t="shared" si="1"/>
        <v>31927.179420608143</v>
      </c>
      <c r="H27" s="84"/>
      <c r="AY27" s="88"/>
      <c r="AZ27" s="88"/>
      <c r="BA27" s="88"/>
      <c r="BB27" s="88"/>
      <c r="BC27" s="88"/>
      <c r="BD27" s="88"/>
      <c r="BE27" s="88"/>
      <c r="BF27" s="88"/>
      <c r="BG27" s="88"/>
      <c r="BH27" s="88"/>
      <c r="BI27" s="88"/>
      <c r="BJ27" s="88"/>
      <c r="BK27" s="88"/>
      <c r="BO27" s="88"/>
      <c r="BP27" s="88"/>
      <c r="BQ27" s="88"/>
      <c r="BR27" s="88"/>
      <c r="BS27" s="88"/>
      <c r="BT27" s="88"/>
      <c r="BU27" s="88"/>
      <c r="BV27" s="88"/>
      <c r="BW27" s="88"/>
      <c r="BX27" s="88"/>
      <c r="BY27" s="88"/>
      <c r="BZ27" s="88"/>
      <c r="CA27" s="88"/>
    </row>
    <row r="28" spans="1:116" x14ac:dyDescent="0.25">
      <c r="A28" s="163">
        <f t="shared" si="2"/>
        <v>17</v>
      </c>
      <c r="B28" s="119">
        <f>'Tables 26a,b-MasterInputs'!I72*D27</f>
        <v>2.7074248148675721</v>
      </c>
      <c r="C28" s="119">
        <f>'Tables 26a,b-MasterInputs'!J72*(D27-B28)</f>
        <v>12.662574775648562</v>
      </c>
      <c r="D28" s="119">
        <f t="shared" si="0"/>
        <v>303.90179461556545</v>
      </c>
      <c r="E28" s="174">
        <f>'Tables 26a,b-MasterInputs'!D$14*B28</f>
        <v>270.74248148675724</v>
      </c>
      <c r="F28" s="174">
        <f>'Tables 26a,b-MasterInputs'!D$14*C28</f>
        <v>1266.2574775648561</v>
      </c>
      <c r="G28" s="175">
        <f t="shared" si="1"/>
        <v>30390.179461556527</v>
      </c>
      <c r="H28" s="84"/>
      <c r="AY28" s="88"/>
      <c r="AZ28" s="88"/>
      <c r="BA28" s="88"/>
      <c r="BB28" s="88"/>
      <c r="BC28" s="88"/>
      <c r="BD28" s="88"/>
      <c r="BE28" s="88"/>
      <c r="BF28" s="88"/>
      <c r="BG28" s="88"/>
      <c r="BH28" s="88"/>
      <c r="BI28" s="88"/>
      <c r="BJ28" s="88"/>
      <c r="BK28" s="88"/>
      <c r="BO28" s="88"/>
      <c r="BP28" s="88"/>
      <c r="BQ28" s="88"/>
      <c r="BR28" s="88"/>
      <c r="BS28" s="88"/>
      <c r="BT28" s="88"/>
      <c r="BU28" s="88"/>
      <c r="BV28" s="88"/>
      <c r="BW28" s="88"/>
      <c r="BX28" s="88"/>
      <c r="BY28" s="88"/>
      <c r="BZ28" s="88"/>
      <c r="CA28" s="88"/>
    </row>
    <row r="29" spans="1:116" x14ac:dyDescent="0.25">
      <c r="A29" s="163">
        <f t="shared" si="2"/>
        <v>18</v>
      </c>
      <c r="B29" s="119">
        <f>'Tables 26a,b-MasterInputs'!I73*D28</f>
        <v>2.8262866899247583</v>
      </c>
      <c r="C29" s="119">
        <f>'Tables 26a,b-MasterInputs'!J73*(D28-B29)</f>
        <v>12.043020317025627</v>
      </c>
      <c r="D29" s="119">
        <f t="shared" si="0"/>
        <v>289.03248760861504</v>
      </c>
      <c r="E29" s="174">
        <f>'Tables 26a,b-MasterInputs'!D$14*B29</f>
        <v>282.62866899247581</v>
      </c>
      <c r="F29" s="174">
        <f>'Tables 26a,b-MasterInputs'!D$14*C29</f>
        <v>1204.3020317025628</v>
      </c>
      <c r="G29" s="175">
        <f t="shared" si="1"/>
        <v>28903.24876086149</v>
      </c>
      <c r="H29" s="84"/>
      <c r="K29" s="3"/>
    </row>
    <row r="30" spans="1:116" x14ac:dyDescent="0.25">
      <c r="A30" s="163">
        <f t="shared" si="2"/>
        <v>19</v>
      </c>
      <c r="B30" s="119">
        <f>'Tables 26a,b-MasterInputs'!I74*D29</f>
        <v>2.9539120233600458</v>
      </c>
      <c r="C30" s="119">
        <f>'Tables 26a,b-MasterInputs'!J74*(D29-B30)</f>
        <v>11.443143023410201</v>
      </c>
      <c r="D30" s="119">
        <f t="shared" si="0"/>
        <v>274.63543256184482</v>
      </c>
      <c r="E30" s="174">
        <f>'Tables 26a,b-MasterInputs'!D$14*B30</f>
        <v>295.3912023360046</v>
      </c>
      <c r="F30" s="174">
        <f>'Tables 26a,b-MasterInputs'!D$14*C30</f>
        <v>1144.31430234102</v>
      </c>
      <c r="G30" s="175">
        <f t="shared" si="1"/>
        <v>27463.543256184465</v>
      </c>
      <c r="H30" s="84"/>
      <c r="BN30" s="286"/>
      <c r="BO30" s="88"/>
      <c r="BP30" s="88"/>
      <c r="BQ30" s="88"/>
      <c r="BR30" s="88"/>
      <c r="BS30" s="88"/>
      <c r="BT30" s="88"/>
      <c r="BU30" s="88"/>
      <c r="BV30" s="88"/>
      <c r="BW30" s="88"/>
      <c r="BX30" s="88"/>
      <c r="BY30" s="88"/>
      <c r="BZ30" s="88"/>
      <c r="CA30" s="88"/>
    </row>
    <row r="31" spans="1:116" ht="15.75" thickBot="1" x14ac:dyDescent="0.3">
      <c r="A31" s="95">
        <f t="shared" si="2"/>
        <v>20</v>
      </c>
      <c r="B31" s="123">
        <f>'Tables 26a,b-MasterInputs'!I75*D30</f>
        <v>3.0896486163207539</v>
      </c>
      <c r="C31" s="123">
        <f>'Tables 26a,b-MasterInputs'!J75*(D30-B31)</f>
        <v>271.54578394552408</v>
      </c>
      <c r="D31" s="123">
        <f t="shared" si="0"/>
        <v>0</v>
      </c>
      <c r="E31" s="176">
        <f>'Tables 26a,b-MasterInputs'!D$14*B31</f>
        <v>308.96486163207538</v>
      </c>
      <c r="F31" s="176">
        <f>'Tables 26a,b-MasterInputs'!D$14*C31</f>
        <v>27154.578394552409</v>
      </c>
      <c r="G31" s="177">
        <f t="shared" si="1"/>
        <v>0</v>
      </c>
      <c r="H31" s="84"/>
      <c r="Q31" s="85"/>
      <c r="BO31" s="88"/>
      <c r="BP31" s="88"/>
      <c r="BQ31" s="88"/>
      <c r="BR31" s="88"/>
      <c r="BS31" s="88"/>
      <c r="BT31" s="88"/>
      <c r="BU31" s="88"/>
      <c r="BV31" s="88"/>
      <c r="BW31" s="88"/>
      <c r="BX31" s="88"/>
      <c r="BY31" s="88"/>
      <c r="BZ31" s="88"/>
      <c r="CA31" s="88"/>
      <c r="DL31" s="88"/>
    </row>
    <row r="32" spans="1:116" x14ac:dyDescent="0.25">
      <c r="DG32" s="85"/>
    </row>
    <row r="41" spans="16:16" x14ac:dyDescent="0.25">
      <c r="P41" s="90"/>
    </row>
    <row r="42" spans="16:16" x14ac:dyDescent="0.25">
      <c r="P42" s="90"/>
    </row>
    <row r="43" spans="16:16" x14ac:dyDescent="0.25">
      <c r="P43" s="90"/>
    </row>
    <row r="44" spans="16:16" x14ac:dyDescent="0.25">
      <c r="P44" s="90"/>
    </row>
    <row r="45" spans="16:16" x14ac:dyDescent="0.25">
      <c r="P45" s="90"/>
    </row>
    <row r="46" spans="16:16" x14ac:dyDescent="0.25">
      <c r="P46" s="90"/>
    </row>
    <row r="47" spans="16:16" x14ac:dyDescent="0.25">
      <c r="P47" s="90"/>
    </row>
    <row r="48" spans="16:16" x14ac:dyDescent="0.25">
      <c r="P48" s="90"/>
    </row>
    <row r="49" spans="1:16" x14ac:dyDescent="0.25">
      <c r="P49" s="90"/>
    </row>
    <row r="50" spans="1:16" x14ac:dyDescent="0.25">
      <c r="P50" s="90"/>
    </row>
    <row r="51" spans="1:16" x14ac:dyDescent="0.25">
      <c r="P51" s="90"/>
    </row>
    <row r="52" spans="1:16" x14ac:dyDescent="0.25">
      <c r="P52" s="90"/>
    </row>
    <row r="53" spans="1:16" x14ac:dyDescent="0.25">
      <c r="P53" s="90"/>
    </row>
    <row r="54" spans="1:16" x14ac:dyDescent="0.25">
      <c r="P54" s="90"/>
    </row>
    <row r="55" spans="1:16" x14ac:dyDescent="0.25">
      <c r="P55" s="90"/>
    </row>
    <row r="56" spans="1:16" x14ac:dyDescent="0.25">
      <c r="P56" s="90"/>
    </row>
    <row r="57" spans="1:16" x14ac:dyDescent="0.25">
      <c r="P57" s="90"/>
    </row>
    <row r="58" spans="1:16" x14ac:dyDescent="0.25">
      <c r="P58" s="90"/>
    </row>
    <row r="59" spans="1:16" x14ac:dyDescent="0.25">
      <c r="P59" s="90"/>
    </row>
    <row r="60" spans="1:16" x14ac:dyDescent="0.25">
      <c r="P60" s="90"/>
    </row>
    <row r="64" spans="1:16" s="1" customFormat="1" x14ac:dyDescent="0.25">
      <c r="A64" s="38"/>
    </row>
    <row r="72" spans="16:16" x14ac:dyDescent="0.25">
      <c r="P72" s="90"/>
    </row>
    <row r="73" spans="16:16" x14ac:dyDescent="0.25">
      <c r="P73" s="90"/>
    </row>
    <row r="74" spans="16:16" x14ac:dyDescent="0.25">
      <c r="P74" s="90"/>
    </row>
    <row r="75" spans="16:16" x14ac:dyDescent="0.25">
      <c r="P75" s="90"/>
    </row>
    <row r="76" spans="16:16" x14ac:dyDescent="0.25">
      <c r="P76" s="90"/>
    </row>
    <row r="77" spans="16:16" x14ac:dyDescent="0.25">
      <c r="P77" s="90"/>
    </row>
    <row r="78" spans="16:16" x14ac:dyDescent="0.25">
      <c r="P78" s="90"/>
    </row>
    <row r="79" spans="16:16" x14ac:dyDescent="0.25">
      <c r="P79" s="90"/>
    </row>
    <row r="80" spans="16:16" x14ac:dyDescent="0.25">
      <c r="P80" s="90"/>
    </row>
    <row r="81" spans="1:16" x14ac:dyDescent="0.25">
      <c r="P81" s="90"/>
    </row>
    <row r="82" spans="1:16" x14ac:dyDescent="0.25">
      <c r="P82" s="90"/>
    </row>
    <row r="83" spans="1:16" x14ac:dyDescent="0.25">
      <c r="P83" s="90"/>
    </row>
    <row r="84" spans="1:16" x14ac:dyDescent="0.25">
      <c r="P84" s="90"/>
    </row>
    <row r="85" spans="1:16" x14ac:dyDescent="0.25">
      <c r="P85" s="90"/>
    </row>
    <row r="86" spans="1:16" x14ac:dyDescent="0.25">
      <c r="P86" s="90"/>
    </row>
    <row r="87" spans="1:16" x14ac:dyDescent="0.25">
      <c r="P87" s="90"/>
    </row>
    <row r="88" spans="1:16" x14ac:dyDescent="0.25">
      <c r="P88" s="90"/>
    </row>
    <row r="89" spans="1:16" x14ac:dyDescent="0.25">
      <c r="P89" s="90"/>
    </row>
    <row r="90" spans="1:16" x14ac:dyDescent="0.25">
      <c r="P90" s="90"/>
    </row>
    <row r="91" spans="1:16" x14ac:dyDescent="0.25">
      <c r="P91" s="90"/>
    </row>
    <row r="95" spans="1:16" x14ac:dyDescent="0.25">
      <c r="M95" s="88"/>
    </row>
    <row r="96" spans="1:16" s="1" customFormat="1" x14ac:dyDescent="0.25">
      <c r="A96" s="38"/>
    </row>
    <row r="98" spans="2:16" x14ac:dyDescent="0.25">
      <c r="B98" s="82"/>
      <c r="C98" s="82"/>
      <c r="D98" s="82"/>
      <c r="E98" s="82"/>
      <c r="F98" s="82"/>
      <c r="G98" s="82"/>
      <c r="H98" s="82"/>
      <c r="I98" s="82"/>
      <c r="P98" s="82"/>
    </row>
    <row r="99" spans="2:16" x14ac:dyDescent="0.25">
      <c r="B99" s="82"/>
      <c r="P99" s="82"/>
    </row>
    <row r="100" spans="2:16" x14ac:dyDescent="0.25">
      <c r="B100" s="82"/>
      <c r="P100" s="82"/>
    </row>
    <row r="101" spans="2:16" x14ac:dyDescent="0.25">
      <c r="B101" s="82"/>
      <c r="P101" s="82"/>
    </row>
    <row r="102" spans="2:16" x14ac:dyDescent="0.25">
      <c r="B102" s="82"/>
      <c r="P102" s="82"/>
    </row>
    <row r="104" spans="2:16" x14ac:dyDescent="0.25">
      <c r="P104" s="287"/>
    </row>
    <row r="105" spans="2:16" x14ac:dyDescent="0.25">
      <c r="P105" s="287"/>
    </row>
    <row r="106" spans="2:16" x14ac:dyDescent="0.25">
      <c r="P106" s="287"/>
    </row>
    <row r="125" spans="53:113" x14ac:dyDescent="0.25">
      <c r="BM125" s="85"/>
    </row>
    <row r="126" spans="53:113" x14ac:dyDescent="0.25">
      <c r="DI126" s="288"/>
    </row>
    <row r="127" spans="53:113" x14ac:dyDescent="0.25">
      <c r="BA127" s="88"/>
      <c r="BE127" s="88"/>
      <c r="BG127" s="88"/>
      <c r="BI127" s="88"/>
    </row>
    <row r="128" spans="53:113" x14ac:dyDescent="0.25">
      <c r="BA128" s="88">
        <f>'Tables7-13-23 - IULHostVEDCalcs'!AK82-'Tables7-13-23 - IULHostVEDCalcs'!D82</f>
        <v>0</v>
      </c>
      <c r="BE128" s="88"/>
      <c r="BG128" s="88"/>
      <c r="BI128" s="88"/>
    </row>
    <row r="129" spans="53:63" x14ac:dyDescent="0.25">
      <c r="BA129" s="88">
        <f>'Tables7-13-23 - IULHostVEDCalcs'!AK83-'Tables7-13-23 - IULHostVEDCalcs'!D83</f>
        <v>0</v>
      </c>
      <c r="BE129" s="88"/>
      <c r="BG129" s="88"/>
      <c r="BI129" s="88"/>
    </row>
    <row r="130" spans="53:63" x14ac:dyDescent="0.25">
      <c r="BA130" s="88">
        <f>'Tables7-13-23 - IULHostVEDCalcs'!AK84-'Tables7-13-23 - IULHostVEDCalcs'!D84</f>
        <v>0</v>
      </c>
      <c r="BE130" s="88"/>
      <c r="BG130" s="88"/>
      <c r="BI130" s="88"/>
    </row>
    <row r="131" spans="53:63" x14ac:dyDescent="0.25">
      <c r="BA131" s="88">
        <f>'Tables7-13-23 - IULHostVEDCalcs'!AK85-'Tables7-13-23 - IULHostVEDCalcs'!D85</f>
        <v>0</v>
      </c>
      <c r="BE131" s="88"/>
      <c r="BG131" s="88"/>
      <c r="BI131" s="88"/>
      <c r="BK131" s="88"/>
    </row>
    <row r="132" spans="53:63" x14ac:dyDescent="0.25">
      <c r="BA132" s="88">
        <f>'Tables7-13-23 - IULHostVEDCalcs'!AK86-'Tables7-13-23 - IULHostVEDCalcs'!D86</f>
        <v>0</v>
      </c>
      <c r="BE132" s="88"/>
      <c r="BG132" s="88"/>
      <c r="BI132" s="88"/>
    </row>
    <row r="133" spans="53:63" x14ac:dyDescent="0.25">
      <c r="BA133" s="88">
        <f>'Tables7-13-23 - IULHostVEDCalcs'!AK87-'Tables7-13-23 - IULHostVEDCalcs'!D87</f>
        <v>0</v>
      </c>
      <c r="BE133" s="88"/>
      <c r="BG133" s="88"/>
      <c r="BI133" s="88"/>
    </row>
    <row r="134" spans="53:63" x14ac:dyDescent="0.25">
      <c r="BA134" s="88">
        <f>'Tables7-13-23 - IULHostVEDCalcs'!AK88-'Tables7-13-23 - IULHostVEDCalcs'!D88</f>
        <v>0</v>
      </c>
      <c r="BE134" s="88"/>
      <c r="BG134" s="88"/>
      <c r="BI134" s="88"/>
    </row>
    <row r="135" spans="53:63" x14ac:dyDescent="0.25">
      <c r="BA135" s="88">
        <f>'Tables7-13-23 - IULHostVEDCalcs'!AK89-'Tables7-13-23 - IULHostVEDCalcs'!D89</f>
        <v>0</v>
      </c>
      <c r="BE135" s="88"/>
      <c r="BG135" s="88"/>
      <c r="BI135" s="88"/>
    </row>
    <row r="136" spans="53:63" x14ac:dyDescent="0.25">
      <c r="BA136" s="88">
        <f>'Tables7-13-23 - IULHostVEDCalcs'!AK90-'Tables7-13-23 - IULHostVEDCalcs'!D90</f>
        <v>-11130.108044972381</v>
      </c>
      <c r="BE136" s="88"/>
      <c r="BG136" s="88"/>
      <c r="BI136" s="88"/>
    </row>
    <row r="137" spans="53:63" x14ac:dyDescent="0.25">
      <c r="BA137" s="88">
        <f>'Tables7-13-23 - IULHostVEDCalcs'!AK91-'Tables7-13-23 - IULHostVEDCalcs'!D91</f>
        <v>-144070.68657015756</v>
      </c>
      <c r="BE137" s="88"/>
      <c r="BG137" s="88"/>
      <c r="BI137" s="88"/>
    </row>
    <row r="138" spans="53:63" x14ac:dyDescent="0.25">
      <c r="BA138" s="88">
        <f>'Tables7-13-23 - IULHostVEDCalcs'!AK92-'Tables7-13-23 - IULHostVEDCalcs'!D92</f>
        <v>-109291.26382072059</v>
      </c>
      <c r="BE138" s="88"/>
      <c r="BG138" s="88"/>
      <c r="BI138" s="88"/>
    </row>
    <row r="139" spans="53:63" x14ac:dyDescent="0.25">
      <c r="BA139" s="88">
        <f>'Tables7-13-23 - IULHostVEDCalcs'!AK93-'Tables7-13-23 - IULHostVEDCalcs'!D93</f>
        <v>0</v>
      </c>
      <c r="BE139" s="88"/>
      <c r="BG139" s="88"/>
      <c r="BI139" s="88"/>
    </row>
    <row r="140" spans="53:63" x14ac:dyDescent="0.25">
      <c r="BA140" s="88">
        <f>'Tables7-13-23 - IULHostVEDCalcs'!AK94-'Tables7-13-23 - IULHostVEDCalcs'!D94</f>
        <v>0</v>
      </c>
      <c r="BE140" s="88"/>
      <c r="BG140" s="88"/>
      <c r="BI140" s="88"/>
    </row>
    <row r="141" spans="53:63" x14ac:dyDescent="0.25">
      <c r="BA141" s="88">
        <f>'Tables7-13-23 - IULHostVEDCalcs'!AK95-'Tables7-13-23 - IULHostVEDCalcs'!D95</f>
        <v>0</v>
      </c>
      <c r="BE141" s="88"/>
      <c r="BG141" s="88"/>
      <c r="BI141" s="88"/>
    </row>
    <row r="142" spans="53:63" x14ac:dyDescent="0.25">
      <c r="BA142" s="88">
        <f>'Tables7-13-23 - IULHostVEDCalcs'!AK96-'Tables7-13-23 - IULHostVEDCalcs'!D96</f>
        <v>0</v>
      </c>
      <c r="BE142" s="88"/>
      <c r="BG142" s="88"/>
      <c r="BI142" s="88"/>
    </row>
    <row r="143" spans="53:63" x14ac:dyDescent="0.25">
      <c r="BA143" s="88">
        <f>'Tables7-13-23 - IULHostVEDCalcs'!AK97-'Tables7-13-23 - IULHostVEDCalcs'!D97</f>
        <v>68524.875643886509</v>
      </c>
      <c r="BE143" s="88"/>
      <c r="BG143" s="88"/>
      <c r="BI143" s="88"/>
    </row>
    <row r="144" spans="53:63" x14ac:dyDescent="0.25">
      <c r="BA144" s="88">
        <f>'Tables7-13-23 - IULHostVEDCalcs'!AK98-'Tables7-13-23 - IULHostVEDCalcs'!D98</f>
        <v>120053.20646361672</v>
      </c>
      <c r="BE144" s="88"/>
      <c r="BG144" s="88"/>
      <c r="BI144" s="88"/>
    </row>
    <row r="145" spans="53:61" x14ac:dyDescent="0.25">
      <c r="BA145" s="88">
        <f>'Tables7-13-23 - IULHostVEDCalcs'!AK99-'Tables7-13-23 - IULHostVEDCalcs'!D99</f>
        <v>126505.42151575495</v>
      </c>
      <c r="BE145" s="88"/>
      <c r="BG145" s="88"/>
      <c r="BI145" s="88"/>
    </row>
    <row r="146" spans="53:61" x14ac:dyDescent="0.25">
      <c r="BA146" s="88">
        <f>'Tables7-13-23 - IULHostVEDCalcs'!AK100-'Tables7-13-23 - IULHostVEDCalcs'!D100</f>
        <v>51319.321807277913</v>
      </c>
    </row>
  </sheetData>
  <mergeCells count="2">
    <mergeCell ref="A6:G6"/>
    <mergeCell ref="A7:G7"/>
  </mergeCells>
  <pageMargins left="0.75" right="0.75" top="1" bottom="1" header="0.5" footer="0.5"/>
  <pageSetup orientation="portrait" horizontalDpi="1200" verticalDpi="1200" r:id="rId1"/>
  <headerFooter alignWithMargins="0"/>
  <customProperties>
    <customPr name="EpmWorksheetKeyString_GUID" r:id="rId2"/>
  </customPropertie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A04F3-E203-49A6-8214-54AEEB68324C}">
  <dimension ref="A1:GT101"/>
  <sheetViews>
    <sheetView showGridLines="0" zoomScaleNormal="100" workbookViewId="0">
      <selection activeCell="B5" sqref="B5"/>
    </sheetView>
  </sheetViews>
  <sheetFormatPr defaultColWidth="8.5703125" defaultRowHeight="15" x14ac:dyDescent="0.25"/>
  <cols>
    <col min="1" max="1" width="6.85546875" style="75" customWidth="1"/>
    <col min="2" max="2" width="11.140625" style="75" customWidth="1"/>
    <col min="3" max="3" width="10.5703125" style="75" customWidth="1"/>
    <col min="4" max="4" width="11.42578125" style="75" customWidth="1"/>
    <col min="5" max="5" width="11.5703125" style="75" customWidth="1"/>
    <col min="6" max="6" width="9.5703125" style="75" customWidth="1"/>
    <col min="7" max="7" width="12" style="75" customWidth="1"/>
    <col min="8" max="8" width="10.5703125" style="75" customWidth="1"/>
    <col min="9" max="9" width="11" style="75" customWidth="1"/>
    <col min="10" max="10" width="12.85546875" style="75" customWidth="1"/>
    <col min="11" max="11" width="13.42578125" style="75" customWidth="1"/>
    <col min="12" max="12" width="10" style="75" bestFit="1" customWidth="1"/>
    <col min="13" max="13" width="11.5703125" style="75" bestFit="1" customWidth="1"/>
    <col min="14" max="14" width="12.5703125" style="75" bestFit="1" customWidth="1"/>
    <col min="15" max="16" width="11.85546875" style="75" bestFit="1" customWidth="1"/>
    <col min="17" max="17" width="12.5703125" style="75" bestFit="1" customWidth="1"/>
    <col min="18" max="18" width="8.140625" style="75" customWidth="1"/>
    <col min="19" max="19" width="10.42578125" style="75" customWidth="1"/>
    <col min="20" max="22" width="11.42578125" style="75" customWidth="1"/>
    <col min="23" max="23" width="11.5703125" style="75" customWidth="1"/>
    <col min="24" max="24" width="15" style="75" customWidth="1"/>
    <col min="25" max="25" width="11.5703125" style="75" customWidth="1"/>
    <col min="26" max="28" width="12.5703125" style="75" customWidth="1"/>
    <col min="29" max="31" width="12.5703125" style="75" bestFit="1" customWidth="1"/>
    <col min="32" max="33" width="11.85546875" style="75" bestFit="1" customWidth="1"/>
    <col min="34" max="34" width="7.42578125" style="75" customWidth="1"/>
    <col min="35" max="35" width="11.42578125" style="75" customWidth="1"/>
    <col min="36" max="36" width="11.85546875" style="75" customWidth="1"/>
    <col min="37" max="37" width="11.42578125" style="75" customWidth="1"/>
    <col min="38" max="38" width="13.42578125" style="75" customWidth="1"/>
    <col min="39" max="39" width="11.42578125" style="75" customWidth="1"/>
    <col min="40" max="40" width="11.5703125" style="75" customWidth="1"/>
    <col min="41" max="41" width="13.42578125" style="75" customWidth="1"/>
    <col min="42" max="42" width="10.42578125" style="75" customWidth="1"/>
    <col min="43" max="43" width="14.140625" style="75" customWidth="1"/>
    <col min="44" max="44" width="11.5703125" style="75" customWidth="1"/>
    <col min="45" max="45" width="10.5703125" style="75" customWidth="1"/>
    <col min="46" max="47" width="13.85546875" style="75" customWidth="1"/>
    <col min="48" max="49" width="11.85546875" style="75" customWidth="1"/>
    <col min="50" max="50" width="9.85546875" style="75" customWidth="1"/>
    <col min="51" max="51" width="13.42578125" style="75" customWidth="1"/>
    <col min="52" max="52" width="11.85546875" style="75" customWidth="1"/>
    <col min="53" max="53" width="11.42578125" style="75" customWidth="1"/>
    <col min="54" max="54" width="13.42578125" style="75" customWidth="1"/>
    <col min="55" max="55" width="11.42578125" style="75" customWidth="1"/>
    <col min="56" max="56" width="11.5703125" style="75" customWidth="1"/>
    <col min="57" max="59" width="13.5703125" style="75" customWidth="1"/>
    <col min="60" max="60" width="12.5703125" style="75" customWidth="1"/>
    <col min="61" max="61" width="9.42578125" style="75" customWidth="1"/>
    <col min="62" max="62" width="14.42578125" style="75" customWidth="1"/>
    <col min="63" max="63" width="15.5703125" style="75" customWidth="1"/>
    <col min="64" max="65" width="11.85546875" style="75" customWidth="1"/>
    <col min="66" max="66" width="9.85546875" style="75" bestFit="1" customWidth="1"/>
    <col min="67" max="67" width="13.42578125" style="75" bestFit="1" customWidth="1"/>
    <col min="68" max="68" width="11.85546875" style="75" bestFit="1" customWidth="1"/>
    <col min="69" max="69" width="11.42578125" style="75" bestFit="1" customWidth="1"/>
    <col min="70" max="70" width="13.42578125" style="75" bestFit="1" customWidth="1"/>
    <col min="71" max="71" width="11.42578125" style="75" bestFit="1" customWidth="1"/>
    <col min="72" max="72" width="11.5703125" style="75" bestFit="1" customWidth="1"/>
    <col min="73" max="73" width="13.42578125" style="75" bestFit="1" customWidth="1"/>
    <col min="74" max="74" width="12" style="75" bestFit="1" customWidth="1"/>
    <col min="75" max="75" width="14.140625" style="75" bestFit="1" customWidth="1"/>
    <col min="76" max="76" width="12.5703125" style="75" customWidth="1"/>
    <col min="77" max="77" width="10.42578125" style="75" bestFit="1" customWidth="1"/>
    <col min="78" max="78" width="9.42578125" style="75" bestFit="1" customWidth="1"/>
    <col min="79" max="81" width="14.140625" style="75" bestFit="1" customWidth="1"/>
    <col min="82" max="82" width="12.5703125" style="75" bestFit="1" customWidth="1"/>
    <col min="83" max="84" width="15.42578125" style="75" bestFit="1" customWidth="1"/>
    <col min="85" max="85" width="12.42578125" style="75" bestFit="1" customWidth="1"/>
    <col min="86" max="86" width="15.42578125" style="75" bestFit="1" customWidth="1"/>
    <col min="87" max="87" width="14.5703125" style="75" bestFit="1" customWidth="1"/>
    <col min="88" max="88" width="15.42578125" style="75" bestFit="1" customWidth="1"/>
    <col min="89" max="89" width="14.42578125" style="75" customWidth="1"/>
    <col min="90" max="90" width="14.140625" style="75" bestFit="1" customWidth="1"/>
    <col min="91" max="91" width="19.5703125" style="75" customWidth="1"/>
    <col min="92" max="92" width="11.42578125" style="75" bestFit="1" customWidth="1"/>
    <col min="93" max="93" width="10.5703125" style="75" bestFit="1" customWidth="1"/>
    <col min="94" max="94" width="9" style="75" bestFit="1" customWidth="1"/>
    <col min="95" max="95" width="10" style="75" bestFit="1" customWidth="1"/>
    <col min="96" max="96" width="12.5703125" style="75" customWidth="1"/>
    <col min="97" max="97" width="11.85546875" style="75" customWidth="1"/>
    <col min="98" max="98" width="11.5703125" style="75" bestFit="1" customWidth="1"/>
    <col min="99" max="99" width="10.42578125" style="75" bestFit="1" customWidth="1"/>
    <col min="100" max="100" width="11.5703125" style="75" bestFit="1" customWidth="1"/>
    <col min="101" max="101" width="11.42578125" style="75" bestFit="1" customWidth="1"/>
    <col min="102" max="102" width="11.5703125" style="75" bestFit="1" customWidth="1"/>
    <col min="103" max="103" width="10.5703125" style="75" bestFit="1" customWidth="1"/>
    <col min="104" max="104" width="11.42578125" style="75" customWidth="1"/>
    <col min="105" max="105" width="10.5703125" style="75" bestFit="1" customWidth="1"/>
    <col min="106" max="106" width="11.42578125" style="75" bestFit="1" customWidth="1"/>
    <col min="107" max="107" width="12" style="75" bestFit="1" customWidth="1"/>
    <col min="108" max="108" width="13.5703125" style="75" bestFit="1" customWidth="1"/>
    <col min="109" max="109" width="10.5703125" style="75" bestFit="1" customWidth="1"/>
    <col min="110" max="110" width="9" style="75" bestFit="1" customWidth="1"/>
    <col min="111" max="111" width="11.42578125" style="75" customWidth="1"/>
    <col min="112" max="112" width="13.5703125" style="75" customWidth="1"/>
    <col min="113" max="113" width="10.42578125" style="75" bestFit="1" customWidth="1"/>
    <col min="114" max="114" width="11.5703125" style="75" bestFit="1" customWidth="1"/>
    <col min="115" max="115" width="10.42578125" style="75" bestFit="1" customWidth="1"/>
    <col min="116" max="116" width="11.5703125" style="75" bestFit="1" customWidth="1"/>
    <col min="117" max="117" width="12.42578125" style="75" bestFit="1" customWidth="1"/>
    <col min="118" max="118" width="11.5703125" style="75" bestFit="1" customWidth="1"/>
    <col min="119" max="119" width="10.5703125" style="75" bestFit="1" customWidth="1"/>
    <col min="120" max="120" width="11.42578125" style="75" customWidth="1"/>
    <col min="121" max="121" width="10.5703125" style="75" bestFit="1" customWidth="1"/>
    <col min="122" max="122" width="11.42578125" style="75" bestFit="1" customWidth="1"/>
    <col min="123" max="123" width="12" style="75" bestFit="1" customWidth="1"/>
    <col min="124" max="124" width="11.5703125" style="75" bestFit="1" customWidth="1"/>
    <col min="125" max="125" width="10.5703125" style="75" bestFit="1" customWidth="1"/>
    <col min="126" max="126" width="9" style="75" bestFit="1" customWidth="1"/>
    <col min="127" max="127" width="10" style="75" bestFit="1" customWidth="1"/>
    <col min="128" max="128" width="14.42578125" style="75" customWidth="1"/>
    <col min="129" max="129" width="13.85546875" style="75" customWidth="1"/>
    <col min="130" max="130" width="11.5703125" style="75" bestFit="1" customWidth="1"/>
    <col min="131" max="131" width="10.42578125" style="75" bestFit="1" customWidth="1"/>
    <col min="132" max="132" width="11.5703125" style="75" bestFit="1" customWidth="1"/>
    <col min="133" max="133" width="12.42578125" style="75" bestFit="1" customWidth="1"/>
    <col min="134" max="134" width="11.5703125" style="75" bestFit="1" customWidth="1"/>
    <col min="135" max="135" width="10.5703125" style="75" bestFit="1" customWidth="1"/>
    <col min="136" max="136" width="11.42578125" style="75" customWidth="1"/>
    <col min="137" max="137" width="10.5703125" style="75" bestFit="1" customWidth="1"/>
    <col min="138" max="138" width="11.42578125" style="75" bestFit="1" customWidth="1"/>
    <col min="139" max="140" width="12.5703125" style="75" bestFit="1" customWidth="1"/>
    <col min="141" max="141" width="10.5703125" style="75" bestFit="1" customWidth="1"/>
    <col min="142" max="142" width="9" style="75" bestFit="1" customWidth="1"/>
    <col min="143" max="143" width="10" style="75" bestFit="1" customWidth="1"/>
    <col min="144" max="145" width="8.5703125" style="75" bestFit="1" customWidth="1"/>
    <col min="146" max="146" width="11.5703125" style="75" bestFit="1" customWidth="1"/>
    <col min="147" max="147" width="10.42578125" style="75" bestFit="1" customWidth="1"/>
    <col min="148" max="148" width="11.5703125" style="75" bestFit="1" customWidth="1"/>
    <col min="149" max="149" width="12.42578125" style="75" bestFit="1" customWidth="1"/>
    <col min="150" max="150" width="11.5703125" style="75" bestFit="1" customWidth="1"/>
    <col min="151" max="151" width="10.5703125" style="75" bestFit="1" customWidth="1"/>
    <col min="152" max="152" width="11.42578125" style="75" customWidth="1"/>
    <col min="153" max="153" width="10.5703125" style="75" bestFit="1" customWidth="1"/>
    <col min="154" max="154" width="11.5703125" style="75" bestFit="1" customWidth="1"/>
    <col min="155" max="155" width="10.5703125" style="75" bestFit="1" customWidth="1"/>
    <col min="156" max="156" width="10" style="75" bestFit="1" customWidth="1"/>
    <col min="157" max="157" width="10.5703125" style="75" bestFit="1" customWidth="1"/>
    <col min="158" max="158" width="9" style="75" bestFit="1" customWidth="1"/>
    <col min="159" max="159" width="9.5703125" style="75" bestFit="1" customWidth="1"/>
    <col min="160" max="160" width="7.5703125" style="75" bestFit="1" customWidth="1"/>
    <col min="161" max="161" width="8.5703125" style="75" bestFit="1" customWidth="1"/>
    <col min="162" max="162" width="11.5703125" style="75" bestFit="1" customWidth="1"/>
    <col min="163" max="163" width="10.42578125" style="75" bestFit="1" customWidth="1"/>
    <col min="164" max="164" width="11.5703125" style="75" bestFit="1" customWidth="1"/>
    <col min="165" max="165" width="12.42578125" style="75" bestFit="1" customWidth="1"/>
    <col min="166" max="166" width="11.5703125" style="75" bestFit="1" customWidth="1"/>
    <col min="167" max="167" width="10.5703125" style="75" bestFit="1" customWidth="1"/>
    <col min="168" max="168" width="11.42578125" style="75" bestFit="1" customWidth="1"/>
    <col min="169" max="169" width="10.5703125" style="75" bestFit="1" customWidth="1"/>
    <col min="170" max="170" width="12.42578125" style="75" bestFit="1" customWidth="1"/>
    <col min="171" max="172" width="8.5703125" style="75"/>
    <col min="173" max="173" width="10.5703125" style="75" bestFit="1" customWidth="1"/>
    <col min="174" max="174" width="9" style="75" bestFit="1" customWidth="1"/>
    <col min="175" max="175" width="9.5703125" style="75" bestFit="1" customWidth="1"/>
    <col min="176" max="176" width="7.5703125" style="75" bestFit="1" customWidth="1"/>
    <col min="177" max="177" width="8.5703125" style="75" bestFit="1" customWidth="1"/>
    <col min="178" max="178" width="11.5703125" style="75" bestFit="1" customWidth="1"/>
    <col min="179" max="179" width="10.42578125" style="75" bestFit="1" customWidth="1"/>
    <col min="180" max="180" width="11.5703125" style="75" bestFit="1" customWidth="1"/>
    <col min="181" max="181" width="12.42578125" style="75" bestFit="1" customWidth="1"/>
    <col min="182" max="182" width="11.5703125" style="75" bestFit="1" customWidth="1"/>
    <col min="183" max="183" width="10.5703125" style="75" bestFit="1" customWidth="1"/>
    <col min="184" max="184" width="11.42578125" style="75" bestFit="1" customWidth="1"/>
    <col min="185" max="185" width="10.5703125" style="75" bestFit="1" customWidth="1"/>
    <col min="186" max="186" width="12.42578125" style="75" bestFit="1" customWidth="1"/>
    <col min="187" max="188" width="8.5703125" style="75"/>
    <col min="189" max="189" width="10.5703125" style="75" bestFit="1" customWidth="1"/>
    <col min="190" max="190" width="9" style="75" bestFit="1" customWidth="1"/>
    <col min="191" max="191" width="9.5703125" style="75" bestFit="1" customWidth="1"/>
    <col min="192" max="192" width="7.5703125" style="75" bestFit="1" customWidth="1"/>
    <col min="193" max="193" width="8.5703125" style="75" bestFit="1" customWidth="1"/>
    <col min="194" max="194" width="11.5703125" style="75" bestFit="1" customWidth="1"/>
    <col min="195" max="195" width="10.42578125" style="75" bestFit="1" customWidth="1"/>
    <col min="196" max="196" width="11.5703125" style="75" bestFit="1" customWidth="1"/>
    <col min="197" max="197" width="12.42578125" style="75" bestFit="1" customWidth="1"/>
    <col min="198" max="198" width="11.5703125" style="75" bestFit="1" customWidth="1"/>
    <col min="199" max="199" width="10.5703125" style="75" bestFit="1" customWidth="1"/>
    <col min="200" max="200" width="11.42578125" style="75" bestFit="1" customWidth="1"/>
    <col min="201" max="201" width="10.5703125" style="75" bestFit="1" customWidth="1"/>
    <col min="202" max="202" width="12.42578125" style="75" bestFit="1" customWidth="1"/>
    <col min="203" max="204" width="8.5703125" style="75"/>
    <col min="205" max="205" width="10.5703125" style="75" bestFit="1" customWidth="1"/>
    <col min="206" max="206" width="8.5703125" style="75"/>
    <col min="207" max="207" width="9.5703125" style="75" bestFit="1" customWidth="1"/>
    <col min="208" max="209" width="8.5703125" style="75"/>
    <col min="210" max="210" width="11.5703125" style="75" bestFit="1" customWidth="1"/>
    <col min="211" max="211" width="10.42578125" style="75" bestFit="1" customWidth="1"/>
    <col min="212" max="212" width="11.5703125" style="75" bestFit="1" customWidth="1"/>
    <col min="213" max="213" width="12.42578125" style="75" bestFit="1" customWidth="1"/>
    <col min="214" max="214" width="11.5703125" style="75" bestFit="1" customWidth="1"/>
    <col min="215" max="215" width="10.5703125" style="75" bestFit="1" customWidth="1"/>
    <col min="216" max="216" width="11.42578125" style="75" bestFit="1" customWidth="1"/>
    <col min="217" max="217" width="10.5703125" style="75" bestFit="1" customWidth="1"/>
    <col min="218" max="218" width="12.42578125" style="75" bestFit="1" customWidth="1"/>
    <col min="219" max="220" width="8.5703125" style="75"/>
    <col min="221" max="221" width="10.5703125" style="75" bestFit="1" customWidth="1"/>
    <col min="222" max="222" width="9" style="75" bestFit="1" customWidth="1"/>
    <col min="223" max="223" width="9.5703125" style="75" bestFit="1" customWidth="1"/>
    <col min="224" max="224" width="7.5703125" style="75" bestFit="1" customWidth="1"/>
    <col min="225" max="225" width="8.5703125" style="75" bestFit="1" customWidth="1"/>
    <col min="226" max="226" width="11.5703125" style="75" bestFit="1" customWidth="1"/>
    <col min="227" max="227" width="10.42578125" style="75" bestFit="1" customWidth="1"/>
    <col min="228" max="228" width="11.5703125" style="75" bestFit="1" customWidth="1"/>
    <col min="229" max="229" width="12.42578125" style="75" bestFit="1" customWidth="1"/>
    <col min="230" max="230" width="11.5703125" style="75" bestFit="1" customWidth="1"/>
    <col min="231" max="231" width="10.5703125" style="75" bestFit="1" customWidth="1"/>
    <col min="232" max="232" width="11.42578125" style="75" bestFit="1" customWidth="1"/>
    <col min="233" max="233" width="10.5703125" style="75" bestFit="1" customWidth="1"/>
    <col min="234" max="234" width="12.42578125" style="75" bestFit="1" customWidth="1"/>
    <col min="235" max="235" width="4.85546875" style="75" bestFit="1" customWidth="1"/>
    <col min="236" max="236" width="8.5703125" style="75"/>
    <col min="237" max="237" width="10.5703125" style="75" bestFit="1" customWidth="1"/>
    <col min="238" max="238" width="9" style="75" bestFit="1" customWidth="1"/>
    <col min="239" max="239" width="9.5703125" style="75" bestFit="1" customWidth="1"/>
    <col min="240" max="240" width="7.5703125" style="75" bestFit="1" customWidth="1"/>
    <col min="241" max="241" width="8.5703125" style="75" bestFit="1" customWidth="1"/>
    <col min="242" max="242" width="11.5703125" style="75" bestFit="1" customWidth="1"/>
    <col min="243" max="243" width="10.42578125" style="75" bestFit="1" customWidth="1"/>
    <col min="244" max="244" width="11.5703125" style="75" bestFit="1" customWidth="1"/>
    <col min="245" max="245" width="12.42578125" style="75" bestFit="1" customWidth="1"/>
    <col min="246" max="246" width="11.5703125" style="75" bestFit="1" customWidth="1"/>
    <col min="247" max="247" width="10.5703125" style="75" bestFit="1" customWidth="1"/>
    <col min="248" max="248" width="11.42578125" style="75" customWidth="1"/>
    <col min="249" max="249" width="10.5703125" style="75" bestFit="1" customWidth="1"/>
    <col min="250" max="250" width="12.42578125" style="75" bestFit="1" customWidth="1"/>
    <col min="251" max="252" width="8.5703125" style="75"/>
    <col min="253" max="254" width="10.5703125" style="75" bestFit="1" customWidth="1"/>
    <col min="255" max="255" width="9.5703125" style="75" bestFit="1" customWidth="1"/>
    <col min="256" max="256" width="7.5703125" style="75" bestFit="1" customWidth="1"/>
    <col min="257" max="257" width="8.5703125" style="75" bestFit="1" customWidth="1"/>
    <col min="258" max="258" width="11.5703125" style="75" bestFit="1" customWidth="1"/>
    <col min="259" max="259" width="10.42578125" style="75" bestFit="1" customWidth="1"/>
    <col min="260" max="260" width="11.5703125" style="75" bestFit="1" customWidth="1"/>
    <col min="261" max="261" width="12.42578125" style="75" bestFit="1" customWidth="1"/>
    <col min="262" max="262" width="11.5703125" style="75" bestFit="1" customWidth="1"/>
    <col min="263" max="263" width="10.5703125" style="75" bestFit="1" customWidth="1"/>
    <col min="264" max="264" width="11.42578125" style="75" bestFit="1" customWidth="1"/>
    <col min="265" max="265" width="10.5703125" style="75" bestFit="1" customWidth="1"/>
    <col min="266" max="266" width="12.42578125" style="75" bestFit="1" customWidth="1"/>
    <col min="267" max="267" width="4.85546875" style="75" bestFit="1" customWidth="1"/>
    <col min="268" max="268" width="8.5703125" style="75"/>
    <col min="269" max="270" width="10.5703125" style="75" bestFit="1" customWidth="1"/>
    <col min="271" max="271" width="9.5703125" style="75" bestFit="1" customWidth="1"/>
    <col min="272" max="272" width="7.5703125" style="75" bestFit="1" customWidth="1"/>
    <col min="273" max="273" width="8.5703125" style="75" bestFit="1" customWidth="1"/>
    <col min="274" max="274" width="11.5703125" style="75" bestFit="1" customWidth="1"/>
    <col min="275" max="275" width="10.42578125" style="75" bestFit="1" customWidth="1"/>
    <col min="276" max="276" width="11.5703125" style="75" bestFit="1" customWidth="1"/>
    <col min="277" max="277" width="12.42578125" style="75" bestFit="1" customWidth="1"/>
    <col min="278" max="278" width="11.5703125" style="75" bestFit="1" customWidth="1"/>
    <col min="279" max="279" width="10.5703125" style="75" bestFit="1" customWidth="1"/>
    <col min="280" max="280" width="11.42578125" style="75" customWidth="1"/>
    <col min="281" max="281" width="10.5703125" style="75" bestFit="1" customWidth="1"/>
    <col min="282" max="282" width="12.42578125" style="75" bestFit="1" customWidth="1"/>
    <col min="283" max="285" width="8.5703125" style="75"/>
    <col min="286" max="286" width="10.5703125" style="75" bestFit="1" customWidth="1"/>
    <col min="287" max="287" width="9.5703125" style="75" bestFit="1" customWidth="1"/>
    <col min="288" max="288" width="8.5703125" style="75"/>
    <col min="289" max="289" width="8.5703125" style="75" bestFit="1" customWidth="1"/>
    <col min="290" max="290" width="11.5703125" style="75" bestFit="1" customWidth="1"/>
    <col min="291" max="291" width="10.42578125" style="75" bestFit="1" customWidth="1"/>
    <col min="292" max="292" width="11.5703125" style="75" bestFit="1" customWidth="1"/>
    <col min="293" max="293" width="12.42578125" style="75" bestFit="1" customWidth="1"/>
    <col min="294" max="294" width="11.5703125" style="75" bestFit="1" customWidth="1"/>
    <col min="295" max="295" width="10.5703125" style="75" bestFit="1" customWidth="1"/>
    <col min="296" max="296" width="11.42578125" style="75" bestFit="1" customWidth="1"/>
    <col min="297" max="297" width="10.5703125" style="75" bestFit="1" customWidth="1"/>
    <col min="298" max="298" width="12.42578125" style="75" bestFit="1" customWidth="1"/>
    <col min="299" max="301" width="8.5703125" style="75"/>
    <col min="302" max="302" width="10.5703125" style="75" bestFit="1" customWidth="1"/>
    <col min="303" max="303" width="9.5703125" style="75" bestFit="1" customWidth="1"/>
    <col min="304" max="305" width="8.5703125" style="75"/>
    <col min="306" max="306" width="11.5703125" style="75" bestFit="1" customWidth="1"/>
    <col min="307" max="307" width="10.42578125" style="75" bestFit="1" customWidth="1"/>
    <col min="308" max="308" width="11.5703125" style="75" bestFit="1" customWidth="1"/>
    <col min="309" max="309" width="12.42578125" style="75" bestFit="1" customWidth="1"/>
    <col min="310" max="310" width="11.5703125" style="75" bestFit="1" customWidth="1"/>
    <col min="311" max="311" width="10.5703125" style="75" bestFit="1" customWidth="1"/>
    <col min="312" max="312" width="11.42578125" style="75" customWidth="1"/>
    <col min="313" max="313" width="10.5703125" style="75" bestFit="1" customWidth="1"/>
    <col min="314" max="314" width="12.42578125" style="75" bestFit="1" customWidth="1"/>
    <col min="315" max="316" width="8.5703125" style="75"/>
    <col min="317" max="317" width="9" style="75" bestFit="1" customWidth="1"/>
    <col min="318" max="318" width="10.5703125" style="75" bestFit="1" customWidth="1"/>
    <col min="319" max="319" width="9.5703125" style="75" bestFit="1" customWidth="1"/>
    <col min="320" max="320" width="7.5703125" style="75" bestFit="1" customWidth="1"/>
    <col min="321" max="321" width="8.5703125" style="75" bestFit="1" customWidth="1"/>
    <col min="322" max="322" width="11.5703125" style="75" bestFit="1" customWidth="1"/>
    <col min="323" max="323" width="10.42578125" style="75" bestFit="1" customWidth="1"/>
    <col min="324" max="324" width="11.5703125" style="75" bestFit="1" customWidth="1"/>
    <col min="325" max="325" width="12.42578125" style="75" bestFit="1" customWidth="1"/>
    <col min="326" max="326" width="11.5703125" style="75" bestFit="1" customWidth="1"/>
    <col min="327" max="327" width="10.5703125" style="75" bestFit="1" customWidth="1"/>
    <col min="328" max="328" width="11.42578125" style="75" bestFit="1" customWidth="1"/>
    <col min="329" max="329" width="10.5703125" style="75" bestFit="1" customWidth="1"/>
    <col min="330" max="330" width="12.42578125" style="75" bestFit="1" customWidth="1"/>
    <col min="331" max="331" width="7.42578125" style="75" customWidth="1"/>
    <col min="332" max="16384" width="8.5703125" style="75"/>
  </cols>
  <sheetData>
    <row r="1" spans="1:129" x14ac:dyDescent="0.25">
      <c r="A1" s="76" t="s">
        <v>368</v>
      </c>
    </row>
    <row r="2" spans="1:129" x14ac:dyDescent="0.25">
      <c r="A2" s="45" t="s">
        <v>369</v>
      </c>
    </row>
    <row r="3" spans="1:129" x14ac:dyDescent="0.25">
      <c r="A3" s="78" t="s">
        <v>370</v>
      </c>
    </row>
    <row r="4" spans="1:129" x14ac:dyDescent="0.25">
      <c r="A4" s="79" t="s">
        <v>379</v>
      </c>
    </row>
    <row r="6" spans="1:129" x14ac:dyDescent="0.25">
      <c r="A6" s="1" t="s">
        <v>365</v>
      </c>
    </row>
    <row r="7" spans="1:129" x14ac:dyDescent="0.25">
      <c r="A7" s="1" t="s">
        <v>132</v>
      </c>
    </row>
    <row r="8" spans="1:129" x14ac:dyDescent="0.25">
      <c r="A8" s="1" t="s">
        <v>184</v>
      </c>
    </row>
    <row r="9" spans="1:129" ht="15.75" thickBot="1" x14ac:dyDescent="0.3"/>
    <row r="10" spans="1:129" x14ac:dyDescent="0.25">
      <c r="A10" s="450" t="s">
        <v>344</v>
      </c>
      <c r="B10" s="451"/>
      <c r="C10" s="451"/>
      <c r="D10" s="451"/>
      <c r="E10" s="451"/>
      <c r="F10" s="451"/>
      <c r="G10" s="451"/>
      <c r="H10" s="451"/>
      <c r="I10" s="451"/>
      <c r="J10" s="451"/>
      <c r="K10" s="452"/>
      <c r="L10" s="292"/>
      <c r="M10" s="292"/>
      <c r="N10" s="292"/>
      <c r="O10" s="29"/>
      <c r="P10" s="1"/>
      <c r="Q10" s="1"/>
      <c r="R10" s="450" t="s">
        <v>294</v>
      </c>
      <c r="S10" s="451"/>
      <c r="T10" s="451"/>
      <c r="U10" s="451"/>
      <c r="V10" s="451"/>
      <c r="W10" s="451"/>
      <c r="X10" s="451"/>
      <c r="Y10" s="451"/>
      <c r="Z10" s="451"/>
      <c r="AA10" s="451"/>
      <c r="AB10" s="452"/>
      <c r="AC10" s="30"/>
      <c r="AD10" s="30"/>
      <c r="AE10" s="30"/>
      <c r="AF10" s="29"/>
      <c r="AG10" s="1"/>
      <c r="AH10" s="450" t="s">
        <v>296</v>
      </c>
      <c r="AI10" s="451"/>
      <c r="AJ10" s="451"/>
      <c r="AK10" s="451"/>
      <c r="AL10" s="451"/>
      <c r="AM10" s="451"/>
      <c r="AN10" s="451"/>
      <c r="AO10" s="451"/>
      <c r="AP10" s="451"/>
      <c r="AQ10" s="451"/>
      <c r="AR10" s="452"/>
      <c r="AS10" s="30"/>
      <c r="AT10" s="30"/>
      <c r="AU10" s="30"/>
      <c r="AV10" s="29"/>
      <c r="AW10" s="1"/>
      <c r="AX10" s="450" t="s">
        <v>298</v>
      </c>
      <c r="AY10" s="451"/>
      <c r="AZ10" s="451"/>
      <c r="BA10" s="451"/>
      <c r="BB10" s="451"/>
      <c r="BC10" s="451"/>
      <c r="BD10" s="451"/>
      <c r="BE10" s="451"/>
      <c r="BF10" s="451"/>
      <c r="BG10" s="451"/>
      <c r="BH10" s="452"/>
      <c r="BI10" s="292"/>
      <c r="BJ10" s="292"/>
      <c r="BK10" s="292"/>
      <c r="BL10" s="293"/>
      <c r="BO10" s="431"/>
      <c r="BP10" s="432"/>
      <c r="BQ10" s="432"/>
      <c r="BR10" s="432"/>
      <c r="BS10" s="432"/>
      <c r="BT10" s="432"/>
      <c r="BU10" s="432"/>
      <c r="BV10" s="432"/>
      <c r="BW10" s="432"/>
      <c r="BX10" s="432"/>
      <c r="BY10" s="433"/>
      <c r="BZ10" s="292"/>
      <c r="CA10" s="292"/>
      <c r="CB10" s="292"/>
      <c r="CC10" s="293"/>
      <c r="CE10" s="450"/>
      <c r="CF10" s="451"/>
      <c r="CG10" s="451"/>
      <c r="CH10" s="451"/>
      <c r="CI10" s="451"/>
      <c r="CJ10" s="451"/>
      <c r="CK10" s="451"/>
      <c r="CL10" s="451"/>
      <c r="CM10" s="451"/>
      <c r="CN10" s="451"/>
      <c r="CO10" s="452"/>
      <c r="CP10" s="292"/>
      <c r="CQ10" s="292"/>
      <c r="CR10" s="292"/>
      <c r="CS10" s="293"/>
      <c r="CU10" s="450"/>
      <c r="CV10" s="451"/>
      <c r="CW10" s="451"/>
      <c r="CX10" s="451"/>
      <c r="CY10" s="451"/>
      <c r="CZ10" s="451"/>
      <c r="DA10" s="451"/>
      <c r="DB10" s="451"/>
      <c r="DC10" s="451"/>
      <c r="DD10" s="451"/>
      <c r="DE10" s="452"/>
      <c r="DF10" s="292"/>
      <c r="DG10" s="292"/>
      <c r="DH10" s="292"/>
      <c r="DI10" s="293"/>
      <c r="DK10" s="450"/>
      <c r="DL10" s="451"/>
      <c r="DM10" s="451"/>
      <c r="DN10" s="451"/>
      <c r="DO10" s="451"/>
      <c r="DP10" s="451"/>
      <c r="DQ10" s="451"/>
      <c r="DR10" s="451"/>
      <c r="DS10" s="451"/>
      <c r="DT10" s="451"/>
      <c r="DU10" s="452"/>
      <c r="DV10" s="292"/>
      <c r="DW10" s="292"/>
      <c r="DX10" s="292"/>
      <c r="DY10" s="293"/>
    </row>
    <row r="11" spans="1:129" ht="12.6" customHeight="1" thickBot="1" x14ac:dyDescent="0.3">
      <c r="A11" s="453" t="s">
        <v>185</v>
      </c>
      <c r="B11" s="454"/>
      <c r="C11" s="454"/>
      <c r="D11" s="454"/>
      <c r="E11" s="454"/>
      <c r="F11" s="454"/>
      <c r="G11" s="454"/>
      <c r="H11" s="454"/>
      <c r="I11" s="454"/>
      <c r="J11" s="454"/>
      <c r="K11" s="455"/>
      <c r="L11" s="27"/>
      <c r="M11" s="27"/>
      <c r="N11" s="27"/>
      <c r="O11" s="28"/>
      <c r="R11" s="453" t="s">
        <v>186</v>
      </c>
      <c r="S11" s="454"/>
      <c r="T11" s="454"/>
      <c r="U11" s="454"/>
      <c r="V11" s="454"/>
      <c r="W11" s="454"/>
      <c r="X11" s="454"/>
      <c r="Y11" s="454"/>
      <c r="Z11" s="454"/>
      <c r="AA11" s="454"/>
      <c r="AB11" s="455"/>
      <c r="AC11" s="27"/>
      <c r="AD11" s="27"/>
      <c r="AE11" s="27"/>
      <c r="AF11" s="28"/>
      <c r="AG11" s="120"/>
      <c r="AH11" s="453" t="s">
        <v>187</v>
      </c>
      <c r="AI11" s="454"/>
      <c r="AJ11" s="454"/>
      <c r="AK11" s="454"/>
      <c r="AL11" s="454"/>
      <c r="AM11" s="454"/>
      <c r="AN11" s="454"/>
      <c r="AO11" s="454"/>
      <c r="AP11" s="454"/>
      <c r="AQ11" s="454"/>
      <c r="AR11" s="455"/>
      <c r="AS11" s="27"/>
      <c r="AT11" s="27"/>
      <c r="AU11" s="27"/>
      <c r="AV11" s="28"/>
      <c r="AW11" s="120"/>
      <c r="AX11" s="453" t="s">
        <v>188</v>
      </c>
      <c r="AY11" s="454"/>
      <c r="AZ11" s="454"/>
      <c r="BA11" s="454"/>
      <c r="BB11" s="454"/>
      <c r="BC11" s="454"/>
      <c r="BD11" s="454"/>
      <c r="BE11" s="454"/>
      <c r="BF11" s="454"/>
      <c r="BG11" s="454"/>
      <c r="BH11" s="455"/>
      <c r="BI11" s="27"/>
      <c r="BJ11" s="27"/>
      <c r="BK11" s="27"/>
      <c r="BL11" s="28"/>
      <c r="BO11" s="434" t="s">
        <v>189</v>
      </c>
      <c r="BP11" s="435"/>
      <c r="BQ11" s="435"/>
      <c r="BR11" s="435"/>
      <c r="BS11" s="435"/>
      <c r="BT11" s="435"/>
      <c r="BU11" s="435"/>
      <c r="BV11" s="435"/>
      <c r="BW11" s="435"/>
      <c r="BX11" s="435"/>
      <c r="BY11" s="436"/>
      <c r="BZ11" s="27"/>
      <c r="CA11" s="27"/>
      <c r="CB11" s="27"/>
      <c r="CC11" s="28"/>
      <c r="CE11" s="453" t="s">
        <v>190</v>
      </c>
      <c r="CF11" s="454"/>
      <c r="CG11" s="454"/>
      <c r="CH11" s="454"/>
      <c r="CI11" s="454"/>
      <c r="CJ11" s="454"/>
      <c r="CK11" s="454"/>
      <c r="CL11" s="454"/>
      <c r="CM11" s="454"/>
      <c r="CN11" s="454"/>
      <c r="CO11" s="455"/>
      <c r="CP11" s="27"/>
      <c r="CQ11" s="27"/>
      <c r="CR11" s="27"/>
      <c r="CS11" s="28"/>
      <c r="CU11" s="453" t="s">
        <v>191</v>
      </c>
      <c r="CV11" s="454"/>
      <c r="CW11" s="454"/>
      <c r="CX11" s="454"/>
      <c r="CY11" s="454"/>
      <c r="CZ11" s="454"/>
      <c r="DA11" s="454"/>
      <c r="DB11" s="454"/>
      <c r="DC11" s="454"/>
      <c r="DD11" s="454"/>
      <c r="DE11" s="455"/>
      <c r="DF11" s="27"/>
      <c r="DG11" s="27"/>
      <c r="DH11" s="27"/>
      <c r="DI11" s="28"/>
      <c r="DK11" s="453" t="s">
        <v>192</v>
      </c>
      <c r="DL11" s="454"/>
      <c r="DM11" s="454"/>
      <c r="DN11" s="454"/>
      <c r="DO11" s="454"/>
      <c r="DP11" s="454"/>
      <c r="DQ11" s="454"/>
      <c r="DR11" s="454"/>
      <c r="DS11" s="454"/>
      <c r="DT11" s="454"/>
      <c r="DU11" s="455"/>
      <c r="DV11" s="27"/>
      <c r="DW11" s="27"/>
      <c r="DX11" s="27"/>
      <c r="DY11" s="28"/>
    </row>
    <row r="12" spans="1:129" x14ac:dyDescent="0.25">
      <c r="A12" s="295"/>
      <c r="B12" s="295">
        <f t="shared" ref="B12:O12" si="0">A12-1</f>
        <v>-1</v>
      </c>
      <c r="C12" s="295">
        <f t="shared" si="0"/>
        <v>-2</v>
      </c>
      <c r="D12" s="295">
        <f t="shared" si="0"/>
        <v>-3</v>
      </c>
      <c r="E12" s="295">
        <f t="shared" si="0"/>
        <v>-4</v>
      </c>
      <c r="F12" s="295">
        <f t="shared" si="0"/>
        <v>-5</v>
      </c>
      <c r="G12" s="295">
        <f t="shared" si="0"/>
        <v>-6</v>
      </c>
      <c r="H12" s="295">
        <f t="shared" si="0"/>
        <v>-7</v>
      </c>
      <c r="I12" s="295">
        <f t="shared" si="0"/>
        <v>-8</v>
      </c>
      <c r="J12" s="295">
        <f t="shared" si="0"/>
        <v>-9</v>
      </c>
      <c r="K12" s="295">
        <f t="shared" si="0"/>
        <v>-10</v>
      </c>
      <c r="L12" s="294">
        <f t="shared" si="0"/>
        <v>-11</v>
      </c>
      <c r="M12" s="295">
        <f t="shared" si="0"/>
        <v>-12</v>
      </c>
      <c r="N12" s="295">
        <f t="shared" si="0"/>
        <v>-13</v>
      </c>
      <c r="O12" s="295">
        <f t="shared" si="0"/>
        <v>-14</v>
      </c>
      <c r="R12" s="295"/>
      <c r="S12" s="295">
        <f t="shared" ref="S12:AF12" si="1">R12-1</f>
        <v>-1</v>
      </c>
      <c r="T12" s="295">
        <f t="shared" si="1"/>
        <v>-2</v>
      </c>
      <c r="U12" s="295">
        <f t="shared" si="1"/>
        <v>-3</v>
      </c>
      <c r="V12" s="295">
        <f t="shared" si="1"/>
        <v>-4</v>
      </c>
      <c r="W12" s="295">
        <f t="shared" si="1"/>
        <v>-5</v>
      </c>
      <c r="X12" s="295">
        <f t="shared" si="1"/>
        <v>-6</v>
      </c>
      <c r="Y12" s="295">
        <f t="shared" si="1"/>
        <v>-7</v>
      </c>
      <c r="Z12" s="295">
        <f t="shared" si="1"/>
        <v>-8</v>
      </c>
      <c r="AA12" s="295">
        <f t="shared" si="1"/>
        <v>-9</v>
      </c>
      <c r="AB12" s="295">
        <f t="shared" si="1"/>
        <v>-10</v>
      </c>
      <c r="AC12" s="294">
        <f t="shared" si="1"/>
        <v>-11</v>
      </c>
      <c r="AD12" s="295">
        <f t="shared" si="1"/>
        <v>-12</v>
      </c>
      <c r="AE12" s="295">
        <f t="shared" si="1"/>
        <v>-13</v>
      </c>
      <c r="AF12" s="295">
        <f t="shared" si="1"/>
        <v>-14</v>
      </c>
      <c r="AG12" s="120"/>
      <c r="AH12" s="295"/>
      <c r="AI12" s="295">
        <f t="shared" ref="AI12:AV12" si="2">AH12-1</f>
        <v>-1</v>
      </c>
      <c r="AJ12" s="295">
        <f t="shared" si="2"/>
        <v>-2</v>
      </c>
      <c r="AK12" s="295">
        <f t="shared" si="2"/>
        <v>-3</v>
      </c>
      <c r="AL12" s="295">
        <f t="shared" si="2"/>
        <v>-4</v>
      </c>
      <c r="AM12" s="295">
        <f t="shared" si="2"/>
        <v>-5</v>
      </c>
      <c r="AN12" s="295">
        <f t="shared" si="2"/>
        <v>-6</v>
      </c>
      <c r="AO12" s="295">
        <f t="shared" si="2"/>
        <v>-7</v>
      </c>
      <c r="AP12" s="295">
        <f t="shared" si="2"/>
        <v>-8</v>
      </c>
      <c r="AQ12" s="295">
        <f t="shared" si="2"/>
        <v>-9</v>
      </c>
      <c r="AR12" s="295">
        <f t="shared" si="2"/>
        <v>-10</v>
      </c>
      <c r="AS12" s="294">
        <f t="shared" si="2"/>
        <v>-11</v>
      </c>
      <c r="AT12" s="295">
        <f t="shared" si="2"/>
        <v>-12</v>
      </c>
      <c r="AU12" s="295">
        <f t="shared" si="2"/>
        <v>-13</v>
      </c>
      <c r="AV12" s="295">
        <f t="shared" si="2"/>
        <v>-14</v>
      </c>
      <c r="AW12" s="120"/>
      <c r="AX12" s="295"/>
      <c r="AY12" s="295">
        <f t="shared" ref="AY12:BL12" si="3">AX12-1</f>
        <v>-1</v>
      </c>
      <c r="AZ12" s="295">
        <f t="shared" si="3"/>
        <v>-2</v>
      </c>
      <c r="BA12" s="295">
        <f t="shared" si="3"/>
        <v>-3</v>
      </c>
      <c r="BB12" s="295">
        <f t="shared" si="3"/>
        <v>-4</v>
      </c>
      <c r="BC12" s="295">
        <f t="shared" si="3"/>
        <v>-5</v>
      </c>
      <c r="BD12" s="295">
        <f t="shared" si="3"/>
        <v>-6</v>
      </c>
      <c r="BE12" s="295">
        <f t="shared" si="3"/>
        <v>-7</v>
      </c>
      <c r="BF12" s="295">
        <f t="shared" si="3"/>
        <v>-8</v>
      </c>
      <c r="BG12" s="295">
        <f t="shared" si="3"/>
        <v>-9</v>
      </c>
      <c r="BH12" s="295">
        <f t="shared" si="3"/>
        <v>-10</v>
      </c>
      <c r="BI12" s="294">
        <f t="shared" si="3"/>
        <v>-11</v>
      </c>
      <c r="BJ12" s="295">
        <f t="shared" si="3"/>
        <v>-12</v>
      </c>
      <c r="BK12" s="295">
        <f t="shared" si="3"/>
        <v>-13</v>
      </c>
      <c r="BL12" s="295">
        <f t="shared" si="3"/>
        <v>-14</v>
      </c>
      <c r="BO12" s="295"/>
      <c r="BP12" s="295">
        <f t="shared" ref="BP12:CC12" si="4">BO12-1</f>
        <v>-1</v>
      </c>
      <c r="BQ12" s="295">
        <f t="shared" si="4"/>
        <v>-2</v>
      </c>
      <c r="BR12" s="295">
        <f t="shared" si="4"/>
        <v>-3</v>
      </c>
      <c r="BS12" s="295">
        <f t="shared" si="4"/>
        <v>-4</v>
      </c>
      <c r="BT12" s="295">
        <f t="shared" si="4"/>
        <v>-5</v>
      </c>
      <c r="BU12" s="295">
        <f t="shared" si="4"/>
        <v>-6</v>
      </c>
      <c r="BV12" s="295">
        <f t="shared" si="4"/>
        <v>-7</v>
      </c>
      <c r="BW12" s="295">
        <f t="shared" si="4"/>
        <v>-8</v>
      </c>
      <c r="BX12" s="295">
        <f t="shared" si="4"/>
        <v>-9</v>
      </c>
      <c r="BY12" s="295">
        <f t="shared" si="4"/>
        <v>-10</v>
      </c>
      <c r="BZ12" s="294">
        <f t="shared" si="4"/>
        <v>-11</v>
      </c>
      <c r="CA12" s="295">
        <f t="shared" si="4"/>
        <v>-12</v>
      </c>
      <c r="CB12" s="295">
        <f t="shared" si="4"/>
        <v>-13</v>
      </c>
      <c r="CC12" s="295">
        <f t="shared" si="4"/>
        <v>-14</v>
      </c>
      <c r="CE12" s="295"/>
      <c r="CF12" s="295">
        <f t="shared" ref="CF12:CS12" si="5">CE12-1</f>
        <v>-1</v>
      </c>
      <c r="CG12" s="295">
        <f t="shared" si="5"/>
        <v>-2</v>
      </c>
      <c r="CH12" s="295">
        <f t="shared" si="5"/>
        <v>-3</v>
      </c>
      <c r="CI12" s="295">
        <f t="shared" si="5"/>
        <v>-4</v>
      </c>
      <c r="CJ12" s="295">
        <f t="shared" si="5"/>
        <v>-5</v>
      </c>
      <c r="CK12" s="295">
        <f t="shared" si="5"/>
        <v>-6</v>
      </c>
      <c r="CL12" s="295">
        <f t="shared" si="5"/>
        <v>-7</v>
      </c>
      <c r="CM12" s="295">
        <f t="shared" si="5"/>
        <v>-8</v>
      </c>
      <c r="CN12" s="295">
        <f t="shared" si="5"/>
        <v>-9</v>
      </c>
      <c r="CO12" s="295">
        <f t="shared" si="5"/>
        <v>-10</v>
      </c>
      <c r="CP12" s="294">
        <f t="shared" si="5"/>
        <v>-11</v>
      </c>
      <c r="CQ12" s="295">
        <f t="shared" si="5"/>
        <v>-12</v>
      </c>
      <c r="CR12" s="295">
        <f t="shared" si="5"/>
        <v>-13</v>
      </c>
      <c r="CS12" s="295">
        <f t="shared" si="5"/>
        <v>-14</v>
      </c>
      <c r="CU12" s="295"/>
      <c r="CV12" s="295">
        <f t="shared" ref="CV12:DI12" si="6">CU12-1</f>
        <v>-1</v>
      </c>
      <c r="CW12" s="295">
        <f t="shared" si="6"/>
        <v>-2</v>
      </c>
      <c r="CX12" s="295">
        <f t="shared" si="6"/>
        <v>-3</v>
      </c>
      <c r="CY12" s="295">
        <f t="shared" si="6"/>
        <v>-4</v>
      </c>
      <c r="CZ12" s="295">
        <f t="shared" si="6"/>
        <v>-5</v>
      </c>
      <c r="DA12" s="295">
        <f t="shared" si="6"/>
        <v>-6</v>
      </c>
      <c r="DB12" s="295">
        <f t="shared" si="6"/>
        <v>-7</v>
      </c>
      <c r="DC12" s="295">
        <f t="shared" si="6"/>
        <v>-8</v>
      </c>
      <c r="DD12" s="295">
        <f t="shared" si="6"/>
        <v>-9</v>
      </c>
      <c r="DE12" s="295">
        <f t="shared" si="6"/>
        <v>-10</v>
      </c>
      <c r="DF12" s="294">
        <f t="shared" si="6"/>
        <v>-11</v>
      </c>
      <c r="DG12" s="295">
        <f t="shared" si="6"/>
        <v>-12</v>
      </c>
      <c r="DH12" s="295">
        <f t="shared" si="6"/>
        <v>-13</v>
      </c>
      <c r="DI12" s="295">
        <f t="shared" si="6"/>
        <v>-14</v>
      </c>
      <c r="DK12" s="295"/>
      <c r="DL12" s="295">
        <f t="shared" ref="DL12:DY12" si="7">DK12-1</f>
        <v>-1</v>
      </c>
      <c r="DM12" s="295">
        <f t="shared" si="7"/>
        <v>-2</v>
      </c>
      <c r="DN12" s="295">
        <f t="shared" si="7"/>
        <v>-3</v>
      </c>
      <c r="DO12" s="295">
        <f t="shared" si="7"/>
        <v>-4</v>
      </c>
      <c r="DP12" s="295">
        <f t="shared" si="7"/>
        <v>-5</v>
      </c>
      <c r="DQ12" s="295">
        <f t="shared" si="7"/>
        <v>-6</v>
      </c>
      <c r="DR12" s="295">
        <f t="shared" si="7"/>
        <v>-7</v>
      </c>
      <c r="DS12" s="295">
        <f t="shared" si="7"/>
        <v>-8</v>
      </c>
      <c r="DT12" s="295">
        <f t="shared" si="7"/>
        <v>-9</v>
      </c>
      <c r="DU12" s="295">
        <f t="shared" si="7"/>
        <v>-10</v>
      </c>
      <c r="DV12" s="294">
        <f t="shared" si="7"/>
        <v>-11</v>
      </c>
      <c r="DW12" s="295">
        <f t="shared" si="7"/>
        <v>-12</v>
      </c>
      <c r="DX12" s="295">
        <f t="shared" si="7"/>
        <v>-13</v>
      </c>
      <c r="DY12" s="295">
        <f t="shared" si="7"/>
        <v>-14</v>
      </c>
    </row>
    <row r="13" spans="1:129" x14ac:dyDescent="0.25">
      <c r="A13" s="296"/>
      <c r="B13" s="25"/>
      <c r="C13" s="26"/>
      <c r="D13" s="26"/>
      <c r="E13" s="297"/>
      <c r="F13" s="25"/>
      <c r="G13" s="297" t="s">
        <v>12</v>
      </c>
      <c r="H13" s="297" t="s">
        <v>12</v>
      </c>
      <c r="I13" s="297" t="s">
        <v>12</v>
      </c>
      <c r="J13" s="297" t="s">
        <v>12</v>
      </c>
      <c r="K13" s="297" t="s">
        <v>12</v>
      </c>
      <c r="L13" s="275" t="s">
        <v>12</v>
      </c>
      <c r="M13" s="296"/>
      <c r="N13" s="296"/>
      <c r="O13" s="296"/>
      <c r="R13" s="296"/>
      <c r="S13" s="25"/>
      <c r="T13" s="26"/>
      <c r="U13" s="26"/>
      <c r="V13" s="297"/>
      <c r="W13" s="25"/>
      <c r="X13" s="297" t="s">
        <v>12</v>
      </c>
      <c r="Y13" s="297" t="s">
        <v>12</v>
      </c>
      <c r="Z13" s="297" t="s">
        <v>12</v>
      </c>
      <c r="AA13" s="297" t="s">
        <v>12</v>
      </c>
      <c r="AB13" s="297" t="s">
        <v>12</v>
      </c>
      <c r="AC13" s="275" t="s">
        <v>12</v>
      </c>
      <c r="AD13" s="296"/>
      <c r="AE13" s="296"/>
      <c r="AF13" s="296"/>
      <c r="AG13" s="120"/>
      <c r="AH13" s="296"/>
      <c r="AI13" s="25"/>
      <c r="AJ13" s="26"/>
      <c r="AK13" s="26"/>
      <c r="AL13" s="297"/>
      <c r="AM13" s="25"/>
      <c r="AN13" s="297" t="s">
        <v>12</v>
      </c>
      <c r="AO13" s="297" t="s">
        <v>12</v>
      </c>
      <c r="AP13" s="297" t="s">
        <v>12</v>
      </c>
      <c r="AQ13" s="297" t="s">
        <v>12</v>
      </c>
      <c r="AR13" s="297" t="s">
        <v>12</v>
      </c>
      <c r="AS13" s="275" t="s">
        <v>12</v>
      </c>
      <c r="AT13" s="296"/>
      <c r="AU13" s="296"/>
      <c r="AV13" s="296"/>
      <c r="AW13" s="120"/>
      <c r="AX13" s="296"/>
      <c r="AY13" s="25"/>
      <c r="AZ13" s="26"/>
      <c r="BA13" s="26"/>
      <c r="BB13" s="297"/>
      <c r="BC13" s="25"/>
      <c r="BD13" s="297" t="s">
        <v>12</v>
      </c>
      <c r="BE13" s="297" t="s">
        <v>12</v>
      </c>
      <c r="BF13" s="297" t="s">
        <v>12</v>
      </c>
      <c r="BG13" s="297" t="s">
        <v>12</v>
      </c>
      <c r="BH13" s="297" t="s">
        <v>12</v>
      </c>
      <c r="BI13" s="275" t="s">
        <v>12</v>
      </c>
      <c r="BJ13" s="296"/>
      <c r="BK13" s="296"/>
      <c r="BL13" s="296"/>
      <c r="BO13" s="296"/>
      <c r="BP13" s="25"/>
      <c r="BQ13" s="26"/>
      <c r="BR13" s="26"/>
      <c r="BS13" s="297"/>
      <c r="BT13" s="25"/>
      <c r="BU13" s="297" t="s">
        <v>12</v>
      </c>
      <c r="BV13" s="297" t="s">
        <v>12</v>
      </c>
      <c r="BW13" s="297" t="s">
        <v>12</v>
      </c>
      <c r="BX13" s="297" t="s">
        <v>12</v>
      </c>
      <c r="BY13" s="297" t="s">
        <v>12</v>
      </c>
      <c r="BZ13" s="275" t="s">
        <v>12</v>
      </c>
      <c r="CA13" s="296"/>
      <c r="CB13" s="296"/>
      <c r="CC13" s="296"/>
      <c r="CE13" s="296"/>
      <c r="CF13" s="25"/>
      <c r="CG13" s="26"/>
      <c r="CH13" s="26"/>
      <c r="CI13" s="297"/>
      <c r="CJ13" s="25"/>
      <c r="CK13" s="297" t="s">
        <v>12</v>
      </c>
      <c r="CL13" s="297" t="s">
        <v>12</v>
      </c>
      <c r="CM13" s="297" t="s">
        <v>12</v>
      </c>
      <c r="CN13" s="297" t="s">
        <v>12</v>
      </c>
      <c r="CO13" s="297" t="s">
        <v>12</v>
      </c>
      <c r="CP13" s="275" t="s">
        <v>12</v>
      </c>
      <c r="CQ13" s="296"/>
      <c r="CR13" s="296"/>
      <c r="CS13" s="296"/>
      <c r="CU13" s="296"/>
      <c r="CV13" s="25"/>
      <c r="CW13" s="26"/>
      <c r="CX13" s="26"/>
      <c r="CY13" s="297"/>
      <c r="CZ13" s="25"/>
      <c r="DA13" s="297" t="s">
        <v>12</v>
      </c>
      <c r="DB13" s="297" t="s">
        <v>12</v>
      </c>
      <c r="DC13" s="297" t="s">
        <v>12</v>
      </c>
      <c r="DD13" s="297" t="s">
        <v>12</v>
      </c>
      <c r="DE13" s="297" t="s">
        <v>12</v>
      </c>
      <c r="DF13" s="275" t="s">
        <v>12</v>
      </c>
      <c r="DG13" s="296"/>
      <c r="DH13" s="296"/>
      <c r="DI13" s="296"/>
      <c r="DK13" s="296"/>
      <c r="DL13" s="25"/>
      <c r="DM13" s="26"/>
      <c r="DN13" s="26"/>
      <c r="DO13" s="297"/>
      <c r="DP13" s="25"/>
      <c r="DQ13" s="297" t="s">
        <v>12</v>
      </c>
      <c r="DR13" s="297" t="s">
        <v>12</v>
      </c>
      <c r="DS13" s="297" t="s">
        <v>12</v>
      </c>
      <c r="DT13" s="297" t="s">
        <v>12</v>
      </c>
      <c r="DU13" s="297" t="s">
        <v>12</v>
      </c>
      <c r="DV13" s="275" t="s">
        <v>12</v>
      </c>
      <c r="DW13" s="296"/>
      <c r="DX13" s="296"/>
      <c r="DY13" s="296"/>
    </row>
    <row r="14" spans="1:129" x14ac:dyDescent="0.25">
      <c r="A14" s="296"/>
      <c r="B14" s="297"/>
      <c r="C14" s="297"/>
      <c r="D14" s="297"/>
      <c r="E14" s="297"/>
      <c r="F14" s="297"/>
      <c r="G14" s="297" t="s">
        <v>13</v>
      </c>
      <c r="H14" s="297" t="s">
        <v>13</v>
      </c>
      <c r="I14" s="297" t="s">
        <v>13</v>
      </c>
      <c r="J14" s="297" t="s">
        <v>13</v>
      </c>
      <c r="K14" s="297" t="s">
        <v>13</v>
      </c>
      <c r="L14" s="275" t="s">
        <v>13</v>
      </c>
      <c r="M14" s="296"/>
      <c r="N14" s="296"/>
      <c r="O14" s="296"/>
      <c r="R14" s="296"/>
      <c r="S14" s="297"/>
      <c r="T14" s="297"/>
      <c r="U14" s="297"/>
      <c r="V14" s="297"/>
      <c r="W14" s="297"/>
      <c r="X14" s="297" t="s">
        <v>13</v>
      </c>
      <c r="Y14" s="297" t="s">
        <v>13</v>
      </c>
      <c r="Z14" s="297" t="s">
        <v>13</v>
      </c>
      <c r="AA14" s="297" t="s">
        <v>13</v>
      </c>
      <c r="AB14" s="297" t="s">
        <v>13</v>
      </c>
      <c r="AC14" s="275" t="s">
        <v>13</v>
      </c>
      <c r="AD14" s="296"/>
      <c r="AE14" s="296"/>
      <c r="AF14" s="296"/>
      <c r="AG14" s="120"/>
      <c r="AH14" s="296"/>
      <c r="AI14" s="297"/>
      <c r="AJ14" s="297"/>
      <c r="AK14" s="297"/>
      <c r="AL14" s="297"/>
      <c r="AM14" s="297"/>
      <c r="AN14" s="297" t="s">
        <v>13</v>
      </c>
      <c r="AO14" s="297" t="s">
        <v>13</v>
      </c>
      <c r="AP14" s="297" t="s">
        <v>13</v>
      </c>
      <c r="AQ14" s="297" t="s">
        <v>13</v>
      </c>
      <c r="AR14" s="297" t="s">
        <v>13</v>
      </c>
      <c r="AS14" s="275" t="s">
        <v>13</v>
      </c>
      <c r="AT14" s="296"/>
      <c r="AU14" s="296"/>
      <c r="AV14" s="296"/>
      <c r="AW14" s="120"/>
      <c r="AX14" s="296"/>
      <c r="AY14" s="297"/>
      <c r="AZ14" s="297"/>
      <c r="BA14" s="297"/>
      <c r="BB14" s="297"/>
      <c r="BC14" s="297"/>
      <c r="BD14" s="297" t="s">
        <v>13</v>
      </c>
      <c r="BE14" s="297" t="s">
        <v>13</v>
      </c>
      <c r="BF14" s="297" t="s">
        <v>13</v>
      </c>
      <c r="BG14" s="297" t="s">
        <v>13</v>
      </c>
      <c r="BH14" s="297" t="s">
        <v>13</v>
      </c>
      <c r="BI14" s="275" t="s">
        <v>13</v>
      </c>
      <c r="BJ14" s="296"/>
      <c r="BK14" s="296"/>
      <c r="BL14" s="296"/>
      <c r="BO14" s="296"/>
      <c r="BP14" s="297"/>
      <c r="BQ14" s="297"/>
      <c r="BR14" s="297"/>
      <c r="BS14" s="297"/>
      <c r="BT14" s="297"/>
      <c r="BU14" s="297" t="s">
        <v>13</v>
      </c>
      <c r="BV14" s="297" t="s">
        <v>13</v>
      </c>
      <c r="BW14" s="297" t="s">
        <v>13</v>
      </c>
      <c r="BX14" s="297" t="s">
        <v>13</v>
      </c>
      <c r="BY14" s="297" t="s">
        <v>13</v>
      </c>
      <c r="BZ14" s="275" t="s">
        <v>13</v>
      </c>
      <c r="CA14" s="296"/>
      <c r="CB14" s="296"/>
      <c r="CC14" s="296"/>
      <c r="CE14" s="296"/>
      <c r="CF14" s="297"/>
      <c r="CG14" s="297"/>
      <c r="CH14" s="297"/>
      <c r="CI14" s="297"/>
      <c r="CJ14" s="297"/>
      <c r="CK14" s="297" t="s">
        <v>13</v>
      </c>
      <c r="CL14" s="297" t="s">
        <v>13</v>
      </c>
      <c r="CM14" s="297" t="s">
        <v>13</v>
      </c>
      <c r="CN14" s="297" t="s">
        <v>13</v>
      </c>
      <c r="CO14" s="297" t="s">
        <v>13</v>
      </c>
      <c r="CP14" s="275" t="s">
        <v>13</v>
      </c>
      <c r="CQ14" s="296"/>
      <c r="CR14" s="296"/>
      <c r="CS14" s="296"/>
      <c r="CU14" s="296"/>
      <c r="CV14" s="297"/>
      <c r="CW14" s="297"/>
      <c r="CX14" s="297"/>
      <c r="CY14" s="297"/>
      <c r="CZ14" s="297"/>
      <c r="DA14" s="297" t="s">
        <v>13</v>
      </c>
      <c r="DB14" s="297" t="s">
        <v>13</v>
      </c>
      <c r="DC14" s="297" t="s">
        <v>13</v>
      </c>
      <c r="DD14" s="297" t="s">
        <v>13</v>
      </c>
      <c r="DE14" s="297" t="s">
        <v>13</v>
      </c>
      <c r="DF14" s="275" t="s">
        <v>13</v>
      </c>
      <c r="DG14" s="296"/>
      <c r="DH14" s="296"/>
      <c r="DI14" s="296"/>
      <c r="DK14" s="296"/>
      <c r="DL14" s="297"/>
      <c r="DM14" s="297"/>
      <c r="DN14" s="297"/>
      <c r="DO14" s="297"/>
      <c r="DP14" s="297"/>
      <c r="DQ14" s="297" t="s">
        <v>13</v>
      </c>
      <c r="DR14" s="297" t="s">
        <v>13</v>
      </c>
      <c r="DS14" s="297" t="s">
        <v>13</v>
      </c>
      <c r="DT14" s="297" t="s">
        <v>13</v>
      </c>
      <c r="DU14" s="297" t="s">
        <v>13</v>
      </c>
      <c r="DV14" s="275" t="s">
        <v>13</v>
      </c>
      <c r="DW14" s="296"/>
      <c r="DX14" s="296"/>
      <c r="DY14" s="296"/>
    </row>
    <row r="15" spans="1:129" x14ac:dyDescent="0.25">
      <c r="A15" s="297" t="s">
        <v>3</v>
      </c>
      <c r="B15" s="297"/>
      <c r="C15" s="297" t="s">
        <v>14</v>
      </c>
      <c r="D15" s="297" t="s">
        <v>15</v>
      </c>
      <c r="E15" s="297" t="s">
        <v>16</v>
      </c>
      <c r="F15" s="297" t="s">
        <v>17</v>
      </c>
      <c r="G15" s="297" t="s">
        <v>18</v>
      </c>
      <c r="H15" s="297" t="s">
        <v>19</v>
      </c>
      <c r="I15" s="297" t="s">
        <v>18</v>
      </c>
      <c r="J15" s="297" t="s">
        <v>19</v>
      </c>
      <c r="K15" s="297" t="s">
        <v>20</v>
      </c>
      <c r="L15" s="275" t="s">
        <v>21</v>
      </c>
      <c r="M15" s="297" t="s">
        <v>6</v>
      </c>
      <c r="N15" s="297" t="s">
        <v>22</v>
      </c>
      <c r="O15" s="297" t="s">
        <v>23</v>
      </c>
      <c r="R15" s="297" t="s">
        <v>3</v>
      </c>
      <c r="S15" s="297"/>
      <c r="T15" s="297" t="s">
        <v>14</v>
      </c>
      <c r="U15" s="297" t="s">
        <v>15</v>
      </c>
      <c r="V15" s="297" t="s">
        <v>16</v>
      </c>
      <c r="W15" s="297" t="s">
        <v>17</v>
      </c>
      <c r="X15" s="297" t="s">
        <v>18</v>
      </c>
      <c r="Y15" s="297" t="s">
        <v>19</v>
      </c>
      <c r="Z15" s="297" t="s">
        <v>18</v>
      </c>
      <c r="AA15" s="297" t="s">
        <v>19</v>
      </c>
      <c r="AB15" s="297" t="s">
        <v>20</v>
      </c>
      <c r="AC15" s="275" t="s">
        <v>21</v>
      </c>
      <c r="AD15" s="297" t="s">
        <v>6</v>
      </c>
      <c r="AE15" s="297" t="s">
        <v>22</v>
      </c>
      <c r="AF15" s="297" t="s">
        <v>23</v>
      </c>
      <c r="AG15" s="120"/>
      <c r="AH15" s="297" t="s">
        <v>3</v>
      </c>
      <c r="AI15" s="297"/>
      <c r="AJ15" s="297" t="s">
        <v>14</v>
      </c>
      <c r="AK15" s="297" t="s">
        <v>15</v>
      </c>
      <c r="AL15" s="297" t="s">
        <v>16</v>
      </c>
      <c r="AM15" s="297" t="s">
        <v>17</v>
      </c>
      <c r="AN15" s="297" t="s">
        <v>18</v>
      </c>
      <c r="AO15" s="297" t="s">
        <v>19</v>
      </c>
      <c r="AP15" s="297" t="s">
        <v>18</v>
      </c>
      <c r="AQ15" s="297" t="s">
        <v>19</v>
      </c>
      <c r="AR15" s="297" t="s">
        <v>20</v>
      </c>
      <c r="AS15" s="275" t="s">
        <v>21</v>
      </c>
      <c r="AT15" s="297" t="s">
        <v>6</v>
      </c>
      <c r="AU15" s="297" t="s">
        <v>22</v>
      </c>
      <c r="AV15" s="297" t="s">
        <v>23</v>
      </c>
      <c r="AW15" s="120"/>
      <c r="AX15" s="297" t="s">
        <v>3</v>
      </c>
      <c r="AY15" s="297"/>
      <c r="AZ15" s="297" t="s">
        <v>14</v>
      </c>
      <c r="BA15" s="297" t="s">
        <v>15</v>
      </c>
      <c r="BB15" s="297" t="s">
        <v>16</v>
      </c>
      <c r="BC15" s="297" t="s">
        <v>17</v>
      </c>
      <c r="BD15" s="297" t="s">
        <v>18</v>
      </c>
      <c r="BE15" s="297" t="s">
        <v>19</v>
      </c>
      <c r="BF15" s="297" t="s">
        <v>18</v>
      </c>
      <c r="BG15" s="297" t="s">
        <v>19</v>
      </c>
      <c r="BH15" s="297" t="s">
        <v>20</v>
      </c>
      <c r="BI15" s="275" t="s">
        <v>21</v>
      </c>
      <c r="BJ15" s="297" t="s">
        <v>6</v>
      </c>
      <c r="BK15" s="297" t="s">
        <v>22</v>
      </c>
      <c r="BL15" s="297" t="s">
        <v>23</v>
      </c>
      <c r="BO15" s="297" t="s">
        <v>3</v>
      </c>
      <c r="BP15" s="297"/>
      <c r="BQ15" s="297" t="s">
        <v>14</v>
      </c>
      <c r="BR15" s="297" t="s">
        <v>15</v>
      </c>
      <c r="BS15" s="297" t="s">
        <v>16</v>
      </c>
      <c r="BT15" s="297" t="s">
        <v>17</v>
      </c>
      <c r="BU15" s="297" t="s">
        <v>18</v>
      </c>
      <c r="BV15" s="297" t="s">
        <v>19</v>
      </c>
      <c r="BW15" s="297" t="s">
        <v>18</v>
      </c>
      <c r="BX15" s="297" t="s">
        <v>19</v>
      </c>
      <c r="BY15" s="297" t="s">
        <v>20</v>
      </c>
      <c r="BZ15" s="275" t="s">
        <v>21</v>
      </c>
      <c r="CA15" s="297" t="s">
        <v>6</v>
      </c>
      <c r="CB15" s="297" t="s">
        <v>22</v>
      </c>
      <c r="CC15" s="297" t="s">
        <v>23</v>
      </c>
      <c r="CE15" s="297" t="s">
        <v>3</v>
      </c>
      <c r="CF15" s="297"/>
      <c r="CG15" s="297" t="s">
        <v>14</v>
      </c>
      <c r="CH15" s="297" t="s">
        <v>15</v>
      </c>
      <c r="CI15" s="297" t="s">
        <v>16</v>
      </c>
      <c r="CJ15" s="297" t="s">
        <v>17</v>
      </c>
      <c r="CK15" s="297" t="s">
        <v>18</v>
      </c>
      <c r="CL15" s="297" t="s">
        <v>19</v>
      </c>
      <c r="CM15" s="297" t="s">
        <v>18</v>
      </c>
      <c r="CN15" s="297" t="s">
        <v>19</v>
      </c>
      <c r="CO15" s="297" t="s">
        <v>20</v>
      </c>
      <c r="CP15" s="275" t="s">
        <v>21</v>
      </c>
      <c r="CQ15" s="297" t="s">
        <v>6</v>
      </c>
      <c r="CR15" s="297" t="s">
        <v>22</v>
      </c>
      <c r="CS15" s="297" t="s">
        <v>23</v>
      </c>
      <c r="CU15" s="297" t="s">
        <v>3</v>
      </c>
      <c r="CV15" s="297"/>
      <c r="CW15" s="297" t="s">
        <v>14</v>
      </c>
      <c r="CX15" s="297" t="s">
        <v>15</v>
      </c>
      <c r="CY15" s="297" t="s">
        <v>16</v>
      </c>
      <c r="CZ15" s="297" t="s">
        <v>17</v>
      </c>
      <c r="DA15" s="297" t="s">
        <v>18</v>
      </c>
      <c r="DB15" s="297" t="s">
        <v>19</v>
      </c>
      <c r="DC15" s="297" t="s">
        <v>18</v>
      </c>
      <c r="DD15" s="297" t="s">
        <v>19</v>
      </c>
      <c r="DE15" s="297" t="s">
        <v>20</v>
      </c>
      <c r="DF15" s="275" t="s">
        <v>21</v>
      </c>
      <c r="DG15" s="297" t="s">
        <v>6</v>
      </c>
      <c r="DH15" s="297" t="s">
        <v>22</v>
      </c>
      <c r="DI15" s="297" t="s">
        <v>23</v>
      </c>
      <c r="DK15" s="297" t="s">
        <v>3</v>
      </c>
      <c r="DL15" s="297"/>
      <c r="DM15" s="297" t="s">
        <v>14</v>
      </c>
      <c r="DN15" s="297" t="s">
        <v>15</v>
      </c>
      <c r="DO15" s="297" t="s">
        <v>16</v>
      </c>
      <c r="DP15" s="297" t="s">
        <v>17</v>
      </c>
      <c r="DQ15" s="297" t="s">
        <v>18</v>
      </c>
      <c r="DR15" s="297" t="s">
        <v>19</v>
      </c>
      <c r="DS15" s="297" t="s">
        <v>18</v>
      </c>
      <c r="DT15" s="297" t="s">
        <v>19</v>
      </c>
      <c r="DU15" s="297" t="s">
        <v>20</v>
      </c>
      <c r="DV15" s="275" t="s">
        <v>21</v>
      </c>
      <c r="DW15" s="297" t="s">
        <v>6</v>
      </c>
      <c r="DX15" s="297" t="s">
        <v>22</v>
      </c>
      <c r="DY15" s="297" t="s">
        <v>23</v>
      </c>
    </row>
    <row r="16" spans="1:129" ht="15.75" thickBot="1" x14ac:dyDescent="0.3">
      <c r="A16" s="298" t="s">
        <v>7</v>
      </c>
      <c r="B16" s="298" t="s">
        <v>17</v>
      </c>
      <c r="C16" s="298" t="s">
        <v>24</v>
      </c>
      <c r="D16" s="298" t="s">
        <v>25</v>
      </c>
      <c r="E16" s="298" t="s">
        <v>26</v>
      </c>
      <c r="F16" s="298" t="s">
        <v>27</v>
      </c>
      <c r="G16" s="298" t="s">
        <v>28</v>
      </c>
      <c r="H16" s="298" t="s">
        <v>29</v>
      </c>
      <c r="I16" s="298" t="s">
        <v>23</v>
      </c>
      <c r="J16" s="298" t="s">
        <v>30</v>
      </c>
      <c r="K16" s="298" t="s">
        <v>7</v>
      </c>
      <c r="L16" s="277" t="s">
        <v>5</v>
      </c>
      <c r="M16" s="298" t="s">
        <v>31</v>
      </c>
      <c r="N16" s="298" t="s">
        <v>32</v>
      </c>
      <c r="O16" s="298" t="s">
        <v>25</v>
      </c>
      <c r="R16" s="298" t="s">
        <v>7</v>
      </c>
      <c r="S16" s="298" t="s">
        <v>17</v>
      </c>
      <c r="T16" s="298" t="s">
        <v>24</v>
      </c>
      <c r="U16" s="298" t="s">
        <v>25</v>
      </c>
      <c r="V16" s="298" t="s">
        <v>26</v>
      </c>
      <c r="W16" s="298" t="s">
        <v>27</v>
      </c>
      <c r="X16" s="298" t="s">
        <v>28</v>
      </c>
      <c r="Y16" s="298" t="s">
        <v>29</v>
      </c>
      <c r="Z16" s="298" t="s">
        <v>23</v>
      </c>
      <c r="AA16" s="298" t="s">
        <v>30</v>
      </c>
      <c r="AB16" s="298" t="s">
        <v>7</v>
      </c>
      <c r="AC16" s="277" t="s">
        <v>5</v>
      </c>
      <c r="AD16" s="298" t="s">
        <v>31</v>
      </c>
      <c r="AE16" s="298" t="s">
        <v>32</v>
      </c>
      <c r="AF16" s="298" t="s">
        <v>25</v>
      </c>
      <c r="AG16" s="120">
        <v>4</v>
      </c>
      <c r="AH16" s="298" t="s">
        <v>7</v>
      </c>
      <c r="AI16" s="298" t="s">
        <v>17</v>
      </c>
      <c r="AJ16" s="298" t="s">
        <v>24</v>
      </c>
      <c r="AK16" s="298" t="s">
        <v>25</v>
      </c>
      <c r="AL16" s="298" t="s">
        <v>26</v>
      </c>
      <c r="AM16" s="298" t="s">
        <v>27</v>
      </c>
      <c r="AN16" s="298" t="s">
        <v>28</v>
      </c>
      <c r="AO16" s="298" t="s">
        <v>29</v>
      </c>
      <c r="AP16" s="298" t="s">
        <v>23</v>
      </c>
      <c r="AQ16" s="298" t="s">
        <v>30</v>
      </c>
      <c r="AR16" s="298" t="s">
        <v>7</v>
      </c>
      <c r="AS16" s="277" t="s">
        <v>5</v>
      </c>
      <c r="AT16" s="298" t="s">
        <v>31</v>
      </c>
      <c r="AU16" s="298" t="s">
        <v>32</v>
      </c>
      <c r="AV16" s="298" t="s">
        <v>25</v>
      </c>
      <c r="AW16" s="120"/>
      <c r="AX16" s="298" t="s">
        <v>7</v>
      </c>
      <c r="AY16" s="298" t="s">
        <v>17</v>
      </c>
      <c r="AZ16" s="298" t="s">
        <v>24</v>
      </c>
      <c r="BA16" s="298" t="s">
        <v>25</v>
      </c>
      <c r="BB16" s="298" t="s">
        <v>26</v>
      </c>
      <c r="BC16" s="298" t="s">
        <v>27</v>
      </c>
      <c r="BD16" s="298" t="s">
        <v>28</v>
      </c>
      <c r="BE16" s="298" t="s">
        <v>29</v>
      </c>
      <c r="BF16" s="298" t="s">
        <v>23</v>
      </c>
      <c r="BG16" s="298" t="s">
        <v>30</v>
      </c>
      <c r="BH16" s="298" t="s">
        <v>7</v>
      </c>
      <c r="BI16" s="277" t="s">
        <v>5</v>
      </c>
      <c r="BJ16" s="298" t="s">
        <v>31</v>
      </c>
      <c r="BK16" s="298" t="s">
        <v>32</v>
      </c>
      <c r="BL16" s="298" t="s">
        <v>25</v>
      </c>
      <c r="BO16" s="298" t="s">
        <v>7</v>
      </c>
      <c r="BP16" s="298" t="s">
        <v>17</v>
      </c>
      <c r="BQ16" s="298" t="s">
        <v>24</v>
      </c>
      <c r="BR16" s="298" t="s">
        <v>25</v>
      </c>
      <c r="BS16" s="298" t="s">
        <v>26</v>
      </c>
      <c r="BT16" s="298" t="s">
        <v>27</v>
      </c>
      <c r="BU16" s="298" t="s">
        <v>28</v>
      </c>
      <c r="BV16" s="298" t="s">
        <v>29</v>
      </c>
      <c r="BW16" s="298" t="s">
        <v>23</v>
      </c>
      <c r="BX16" s="298" t="s">
        <v>30</v>
      </c>
      <c r="BY16" s="298" t="s">
        <v>7</v>
      </c>
      <c r="BZ16" s="277" t="s">
        <v>5</v>
      </c>
      <c r="CA16" s="298" t="s">
        <v>31</v>
      </c>
      <c r="CB16" s="298" t="s">
        <v>32</v>
      </c>
      <c r="CC16" s="298" t="s">
        <v>25</v>
      </c>
      <c r="CD16" s="120">
        <v>8</v>
      </c>
      <c r="CE16" s="298" t="s">
        <v>7</v>
      </c>
      <c r="CF16" s="298" t="s">
        <v>17</v>
      </c>
      <c r="CG16" s="298" t="s">
        <v>24</v>
      </c>
      <c r="CH16" s="298" t="s">
        <v>25</v>
      </c>
      <c r="CI16" s="298" t="s">
        <v>26</v>
      </c>
      <c r="CJ16" s="298" t="s">
        <v>27</v>
      </c>
      <c r="CK16" s="298" t="s">
        <v>28</v>
      </c>
      <c r="CL16" s="298" t="s">
        <v>29</v>
      </c>
      <c r="CM16" s="298" t="s">
        <v>23</v>
      </c>
      <c r="CN16" s="298" t="s">
        <v>30</v>
      </c>
      <c r="CO16" s="298" t="s">
        <v>7</v>
      </c>
      <c r="CP16" s="277" t="s">
        <v>5</v>
      </c>
      <c r="CQ16" s="298" t="s">
        <v>31</v>
      </c>
      <c r="CR16" s="298" t="s">
        <v>32</v>
      </c>
      <c r="CS16" s="298" t="s">
        <v>25</v>
      </c>
      <c r="CU16" s="298" t="s">
        <v>7</v>
      </c>
      <c r="CV16" s="298" t="s">
        <v>17</v>
      </c>
      <c r="CW16" s="298" t="s">
        <v>24</v>
      </c>
      <c r="CX16" s="298" t="s">
        <v>25</v>
      </c>
      <c r="CY16" s="298" t="s">
        <v>26</v>
      </c>
      <c r="CZ16" s="298" t="s">
        <v>27</v>
      </c>
      <c r="DA16" s="298" t="s">
        <v>28</v>
      </c>
      <c r="DB16" s="298" t="s">
        <v>29</v>
      </c>
      <c r="DC16" s="298" t="s">
        <v>23</v>
      </c>
      <c r="DD16" s="298" t="s">
        <v>30</v>
      </c>
      <c r="DE16" s="298" t="s">
        <v>7</v>
      </c>
      <c r="DF16" s="277" t="s">
        <v>5</v>
      </c>
      <c r="DG16" s="298" t="s">
        <v>31</v>
      </c>
      <c r="DH16" s="298" t="s">
        <v>32</v>
      </c>
      <c r="DI16" s="298" t="s">
        <v>25</v>
      </c>
      <c r="DK16" s="298" t="s">
        <v>7</v>
      </c>
      <c r="DL16" s="298" t="s">
        <v>17</v>
      </c>
      <c r="DM16" s="298" t="s">
        <v>24</v>
      </c>
      <c r="DN16" s="298" t="s">
        <v>25</v>
      </c>
      <c r="DO16" s="298" t="s">
        <v>26</v>
      </c>
      <c r="DP16" s="298" t="s">
        <v>27</v>
      </c>
      <c r="DQ16" s="298" t="s">
        <v>28</v>
      </c>
      <c r="DR16" s="298" t="s">
        <v>29</v>
      </c>
      <c r="DS16" s="298" t="s">
        <v>23</v>
      </c>
      <c r="DT16" s="298" t="s">
        <v>30</v>
      </c>
      <c r="DU16" s="298" t="s">
        <v>7</v>
      </c>
      <c r="DV16" s="277" t="s">
        <v>5</v>
      </c>
      <c r="DW16" s="298" t="s">
        <v>31</v>
      </c>
      <c r="DX16" s="298" t="s">
        <v>32</v>
      </c>
      <c r="DY16" s="298" t="s">
        <v>25</v>
      </c>
    </row>
    <row r="17" spans="1:147" x14ac:dyDescent="0.25">
      <c r="A17" s="137"/>
      <c r="K17" s="299">
        <v>0</v>
      </c>
      <c r="O17" s="120"/>
      <c r="R17" s="137"/>
      <c r="AB17" s="299">
        <v>0</v>
      </c>
      <c r="AF17" s="102"/>
      <c r="AG17" s="120"/>
      <c r="AH17" s="137"/>
      <c r="AR17" s="299">
        <v>0</v>
      </c>
      <c r="AV17" s="102"/>
      <c r="AW17" s="120"/>
      <c r="AX17" s="137"/>
      <c r="BH17" s="299"/>
      <c r="BL17" s="102"/>
      <c r="BO17" s="137"/>
      <c r="BY17" s="299">
        <v>0</v>
      </c>
      <c r="CC17" s="120"/>
      <c r="CD17" s="120"/>
      <c r="CE17" s="137"/>
      <c r="CO17" s="299">
        <v>0</v>
      </c>
      <c r="CS17" s="102"/>
      <c r="CU17" s="137"/>
      <c r="DE17" s="299"/>
      <c r="DI17" s="102"/>
      <c r="DK17" s="137"/>
      <c r="DU17" s="299"/>
      <c r="DY17" s="120"/>
    </row>
    <row r="18" spans="1:147" x14ac:dyDescent="0.25">
      <c r="A18" s="137">
        <v>1</v>
      </c>
      <c r="B18" s="85">
        <f>'Table 12-IUL Census'!$G11*'Tables 26a,b-MasterInputs'!$C31</f>
        <v>3500000</v>
      </c>
      <c r="C18" s="174">
        <f>MAX('Table 7-11-IULHostVEDInputs'!F31*(K17+B18+D18+E18+F18),0)</f>
        <v>0</v>
      </c>
      <c r="D18" s="174">
        <f>-'Tables 26a,b-MasterInputs'!$K56*('Table 12-IUL Census'!$G11*1000/(1+'Tables 26a,b-MasterInputs'!$E31)-(K17+B18+E18+F18))</f>
        <v>-155160.80780487807</v>
      </c>
      <c r="E18" s="174">
        <f>-'Tables 26a,b-MasterInputs'!$G56*'Table 12-IUL Census'!D11</f>
        <v>-20000</v>
      </c>
      <c r="F18" s="174">
        <f>-'Tables 26a,b-MasterInputs'!$F56*B18</f>
        <v>-70000</v>
      </c>
      <c r="G18" s="85">
        <f t="shared" ref="G18:G28" si="8">MAX((B18+F18)+C18+D18+E18+K17,0)</f>
        <v>3254839.1921951221</v>
      </c>
      <c r="H18" s="85">
        <f>-G18*'Tables 26a,b-MasterInputs'!$I56</f>
        <v>-2603.871353756098</v>
      </c>
      <c r="I18" s="85">
        <f t="shared" ref="I18:I37" si="9">G18+H18</f>
        <v>3252235.320841366</v>
      </c>
      <c r="J18" s="85">
        <f>-I18*'Tables 26a,b-MasterInputs'!$J56</f>
        <v>-487835.29812620487</v>
      </c>
      <c r="K18" s="325">
        <f t="shared" ref="K18:K37" si="10">I18+J18</f>
        <v>2764400.0227151611</v>
      </c>
      <c r="L18" s="107">
        <f>IFERROR(K18/'Table 12-IUL Census'!$G12,0)</f>
        <v>32.548391921951222</v>
      </c>
      <c r="M18" s="88">
        <f>'Table 12-IUL Census'!F12</f>
        <v>14988</v>
      </c>
      <c r="N18" s="89">
        <f>'Tables 26a,b-MasterInputs'!$H56</f>
        <v>20</v>
      </c>
      <c r="O18" s="175">
        <f t="shared" ref="O18:O37" si="11">M18*N18</f>
        <v>299760</v>
      </c>
      <c r="R18" s="137">
        <v>1</v>
      </c>
      <c r="S18" s="85">
        <f>'Table 12-IUL Census'!$G11*'Tables 26a,b-MasterInputs'!$C31</f>
        <v>3500000</v>
      </c>
      <c r="T18" s="300">
        <f>MAX('Table 7-11-IULHostVEDInputs'!F31*(AB17+S18+U18+V18+W18),0)</f>
        <v>0</v>
      </c>
      <c r="U18" s="300">
        <f>-'Tables 26a,b-MasterInputs'!$K56*('Table 12-IUL Census'!$G11*1000/(1+'Tables 26a,b-MasterInputs'!$E31)-(AB17+S18+V18+W18))</f>
        <v>-155160.80780487807</v>
      </c>
      <c r="V18" s="300">
        <f>-'Tables 26a,b-MasterInputs'!$G56*'Table 12-IUL Census'!$D11</f>
        <v>-20000</v>
      </c>
      <c r="W18" s="300">
        <f>-'Tables 26a,b-MasterInputs'!$F56*S18</f>
        <v>-70000</v>
      </c>
      <c r="X18" s="85">
        <f t="shared" ref="X18:X37" si="12">(S18+W18)+T18+U18+V18+AB17</f>
        <v>3254839.1921951221</v>
      </c>
      <c r="Y18" s="85">
        <f>-X18*'Tables 26a,b-MasterInputs'!$I56</f>
        <v>-2603.871353756098</v>
      </c>
      <c r="Z18" s="85">
        <f t="shared" ref="Z18:Z37" si="13">X18+Y18</f>
        <v>3252235.320841366</v>
      </c>
      <c r="AA18" s="85">
        <f>-Z18*'Tables 26a,b-MasterInputs'!$J56</f>
        <v>-487835.29812620487</v>
      </c>
      <c r="AB18" s="299">
        <f t="shared" ref="AB18:AB37" si="14">Z18+AA18</f>
        <v>2764400.0227151611</v>
      </c>
      <c r="AC18" s="107">
        <f>IFERROR(AB18/'Table 12-IUL Census'!G12,0)</f>
        <v>32.548391921951222</v>
      </c>
      <c r="AD18" s="88">
        <f>'Table 12-IUL Census'!F12</f>
        <v>14988</v>
      </c>
      <c r="AE18" s="89">
        <f>'Tables 26a,b-MasterInputs'!$H56</f>
        <v>20</v>
      </c>
      <c r="AF18" s="175">
        <f t="shared" ref="AF18:AF37" si="15">AD18*AE18</f>
        <v>299760</v>
      </c>
      <c r="AG18" s="120"/>
      <c r="AH18" s="137">
        <v>1</v>
      </c>
      <c r="AI18" s="85">
        <f>'Table 12-IUL Census'!$G11*'Tables 26a,b-MasterInputs'!$C31</f>
        <v>3500000</v>
      </c>
      <c r="AJ18" s="300">
        <f>MAX('Table 7-11-IULHostVEDInputs'!F31*(AR17+AI18+AK18+AL18+AM18),0)</f>
        <v>0</v>
      </c>
      <c r="AK18" s="300">
        <f>-'Tables 26a,b-MasterInputs'!$K56*('Table 12-IUL Census'!$G11*1000/(1+'Tables 26a,b-MasterInputs'!$E31)-(AR17+AI18+AL18+AM18))</f>
        <v>-155160.80780487807</v>
      </c>
      <c r="AL18" s="300">
        <f>-'Tables 26a,b-MasterInputs'!$G56*'Table 12-IUL Census'!$D11</f>
        <v>-20000</v>
      </c>
      <c r="AM18" s="300">
        <f>-'Tables 26a,b-MasterInputs'!$F56*AI18</f>
        <v>-70000</v>
      </c>
      <c r="AN18" s="85">
        <f t="shared" ref="AN18:AN37" si="16">(AI18+AM18)+AJ18+AK18+AL18+AR17</f>
        <v>3254839.1921951221</v>
      </c>
      <c r="AO18" s="85">
        <f>-AN18*'Tables 26a,b-MasterInputs'!$I56</f>
        <v>-2603.871353756098</v>
      </c>
      <c r="AP18" s="85">
        <f t="shared" ref="AP18:AP37" si="17">AN18+AO18</f>
        <v>3252235.320841366</v>
      </c>
      <c r="AQ18" s="85">
        <f>-AP18*'Tables 26a,b-MasterInputs'!$J56</f>
        <v>-487835.29812620487</v>
      </c>
      <c r="AR18" s="299">
        <f t="shared" ref="AR18:AR37" si="18">AP18+AQ18</f>
        <v>2764400.0227151611</v>
      </c>
      <c r="AS18" s="301">
        <f>IFERROR(AR18/'Table 12-IUL Census'!$G12,0)</f>
        <v>32.548391921951222</v>
      </c>
      <c r="AT18" s="88">
        <f>'Table 12-IUL Census'!$F12</f>
        <v>14988</v>
      </c>
      <c r="AU18" s="89">
        <f>'Tables 26a,b-MasterInputs'!$H56</f>
        <v>20</v>
      </c>
      <c r="AV18" s="270">
        <f t="shared" ref="AV18:AV37" si="19">AT18*AU18</f>
        <v>299760</v>
      </c>
      <c r="AW18" s="120"/>
      <c r="AX18" s="137">
        <v>1</v>
      </c>
      <c r="AY18" s="300">
        <v>0</v>
      </c>
      <c r="AZ18" s="300">
        <f>MAX('Table 7-11-IULHostVEDInputs'!F31*(BH17+AY18+BA18+BB18+BC18),0)</f>
        <v>0</v>
      </c>
      <c r="BA18" s="300">
        <v>0</v>
      </c>
      <c r="BB18" s="300">
        <v>0</v>
      </c>
      <c r="BC18" s="300">
        <v>0</v>
      </c>
      <c r="BD18" s="300">
        <v>0</v>
      </c>
      <c r="BE18" s="300">
        <v>0</v>
      </c>
      <c r="BF18" s="300">
        <v>0</v>
      </c>
      <c r="BG18" s="300">
        <v>0</v>
      </c>
      <c r="BH18" s="270">
        <v>0</v>
      </c>
      <c r="BI18" s="300">
        <v>0</v>
      </c>
      <c r="BJ18" s="88">
        <v>0</v>
      </c>
      <c r="BK18" s="89">
        <v>0</v>
      </c>
      <c r="BL18" s="270">
        <f t="shared" ref="BL18:BL37" si="20">BJ18*BK18</f>
        <v>0</v>
      </c>
      <c r="BO18" s="137">
        <v>1</v>
      </c>
      <c r="BP18" s="85">
        <f>'Table 12-IUL Census'!$G11*'Tables 26a,b-MasterInputs'!$C31</f>
        <v>3500000</v>
      </c>
      <c r="BQ18" s="302">
        <f>MAX('Table 7-11-IULHostVEDInputs'!F31*(BY17+BP18+BR18+BS18+BT18),0)</f>
        <v>0</v>
      </c>
      <c r="BR18" s="302">
        <f>-'Tables 26a,b-MasterInputs'!$K56*('Table 12-IUL Census'!$G11*1000/(1+'Tables 26a,b-MasterInputs'!$E31)-(BY17+BP18+BS18+BT18))</f>
        <v>-155160.80780487807</v>
      </c>
      <c r="BS18" s="302">
        <f>-'Tables 26a,b-MasterInputs'!$G56*'Table 12-IUL Census'!$D11</f>
        <v>-20000</v>
      </c>
      <c r="BT18" s="302">
        <f>-'Tables 26a,b-MasterInputs'!$F56*BP18</f>
        <v>-70000</v>
      </c>
      <c r="BU18" s="85">
        <f t="shared" ref="BU18:BU37" si="21">(BP18+BT18)+BQ18+BR18+BS18+BY17</f>
        <v>3254839.1921951221</v>
      </c>
      <c r="BV18" s="85">
        <f>-BU18*'Tables 26a,b-MasterInputs'!$I56</f>
        <v>-2603.871353756098</v>
      </c>
      <c r="BW18" s="85">
        <f t="shared" ref="BW18:BW37" si="22">BU18+BV18</f>
        <v>3252235.320841366</v>
      </c>
      <c r="BX18" s="85">
        <f>-BW18*'Tables 26a,b-MasterInputs'!$J56</f>
        <v>-487835.29812620487</v>
      </c>
      <c r="BY18" s="299">
        <f t="shared" ref="BY18:BY37" si="23">BW18+BX18</f>
        <v>2764400.0227151611</v>
      </c>
      <c r="BZ18" s="107">
        <f>IFERROR(BY18/'Table 12-IUL Census'!$G12,0)</f>
        <v>32.548391921951222</v>
      </c>
      <c r="CA18" s="88">
        <f>'Table 12-IUL Census'!$F12</f>
        <v>14988</v>
      </c>
      <c r="CB18" s="89">
        <f>'Tables 26a,b-MasterInputs'!$H56</f>
        <v>20</v>
      </c>
      <c r="CC18" s="175">
        <f t="shared" ref="CC18:CC37" si="24">CA18*CB18</f>
        <v>299760</v>
      </c>
      <c r="CD18" s="303">
        <f t="shared" ref="CD18:CD37" ca="1" si="25">OFFSET(CG18,0,CD$16)+OFFSET(CW18,0,CD$16)+OFFSET(DM18,0,CD$16)-OFFSET(BQ18,0,CD$16)</f>
        <v>0</v>
      </c>
      <c r="CE18" s="137">
        <v>1</v>
      </c>
      <c r="CF18" s="85">
        <f>'Table 12-IUL Census'!$G11*'Tables 26a,b-MasterInputs'!$C31</f>
        <v>3500000</v>
      </c>
      <c r="CG18" s="302">
        <f>MAX('Table 7-11-IULHostVEDInputs'!F31*(CO17+CF18+CH18+CI18+CJ18),0)</f>
        <v>0</v>
      </c>
      <c r="CH18" s="300">
        <f>-'Tables 26a,b-MasterInputs'!$K56*('Table 12-IUL Census'!$G11*1000/(1+'Tables 26a,b-MasterInputs'!$E31)-(CO17+CF18+CI18+CJ18))</f>
        <v>-155160.80780487807</v>
      </c>
      <c r="CI18" s="300">
        <f>-'Tables 26a,b-MasterInputs'!$G56*'Table 12-IUL Census'!$D11</f>
        <v>-20000</v>
      </c>
      <c r="CJ18" s="300">
        <f>-'Tables 26a,b-MasterInputs'!$F56*CF18</f>
        <v>-70000</v>
      </c>
      <c r="CK18" s="85">
        <f t="shared" ref="CK18:CK37" si="26">(CF18+CJ18)+CG18+CH18+CI18+CO17</f>
        <v>3254839.1921951221</v>
      </c>
      <c r="CL18" s="85">
        <f>-CK18*'Tables 26a,b-MasterInputs'!$I56</f>
        <v>-2603.871353756098</v>
      </c>
      <c r="CM18" s="85">
        <f t="shared" ref="CM18:CM37" si="27">CK18+CL18</f>
        <v>3252235.320841366</v>
      </c>
      <c r="CN18" s="85">
        <f>-CM18*'Tables 26a,b-MasterInputs'!$J56</f>
        <v>-487835.29812620487</v>
      </c>
      <c r="CO18" s="299">
        <f t="shared" ref="CO18:CO37" si="28">CM18+CN18</f>
        <v>2764400.0227151611</v>
      </c>
      <c r="CP18" s="301">
        <f>IFERROR(CO18/'Table 12-IUL Census'!$G12,0)</f>
        <v>32.548391921951222</v>
      </c>
      <c r="CQ18" s="88">
        <f>'Table 12-IUL Census'!$F12</f>
        <v>14988</v>
      </c>
      <c r="CR18" s="89">
        <f>'Tables 26a,b-MasterInputs'!$H56</f>
        <v>20</v>
      </c>
      <c r="CS18" s="270">
        <f t="shared" ref="CS18:CS37" si="29">CQ18*CR18</f>
        <v>299760</v>
      </c>
      <c r="CU18" s="137">
        <v>1</v>
      </c>
      <c r="CV18" s="300">
        <v>0</v>
      </c>
      <c r="CW18" s="302">
        <f>MAX('Table 7-11-IULHostVEDInputs'!F31*(DE17+CV18+CX18+CY18+CZ18),0)</f>
        <v>0</v>
      </c>
      <c r="CX18" s="300">
        <v>0</v>
      </c>
      <c r="CY18" s="300">
        <v>0</v>
      </c>
      <c r="CZ18" s="300">
        <v>0</v>
      </c>
      <c r="DA18" s="300">
        <v>0</v>
      </c>
      <c r="DB18" s="300">
        <v>0</v>
      </c>
      <c r="DC18" s="300">
        <v>0</v>
      </c>
      <c r="DD18" s="300">
        <v>0</v>
      </c>
      <c r="DE18" s="270">
        <v>0</v>
      </c>
      <c r="DF18" s="300">
        <v>0</v>
      </c>
      <c r="DG18" s="88">
        <v>0</v>
      </c>
      <c r="DH18" s="89">
        <v>0</v>
      </c>
      <c r="DI18" s="270">
        <f t="shared" ref="DI18:DI37" si="30">DG18*DH18</f>
        <v>0</v>
      </c>
      <c r="DK18" s="137">
        <v>1</v>
      </c>
      <c r="DL18" s="300">
        <v>0</v>
      </c>
      <c r="DM18" s="302">
        <f>MAX('Table 7-11-IULHostVEDInputs'!F31*(DU17+DL18+DN18+DO18+DP18),0)</f>
        <v>0</v>
      </c>
      <c r="DN18" s="300">
        <v>0</v>
      </c>
      <c r="DO18" s="300">
        <v>0</v>
      </c>
      <c r="DP18" s="300">
        <v>0</v>
      </c>
      <c r="DQ18" s="300">
        <v>0</v>
      </c>
      <c r="DR18" s="300">
        <v>0</v>
      </c>
      <c r="DS18" s="300">
        <v>0</v>
      </c>
      <c r="DT18" s="300">
        <v>0</v>
      </c>
      <c r="DU18" s="270">
        <v>0</v>
      </c>
      <c r="DV18" s="300">
        <v>0</v>
      </c>
      <c r="DW18" s="88">
        <v>0</v>
      </c>
      <c r="DX18" s="89">
        <v>0</v>
      </c>
      <c r="DY18" s="270">
        <f t="shared" ref="DY18:DY37" si="31">DW18*DX18</f>
        <v>0</v>
      </c>
    </row>
    <row r="19" spans="1:147" x14ac:dyDescent="0.25">
      <c r="A19" s="137">
        <v>2</v>
      </c>
      <c r="B19" s="85">
        <v>0</v>
      </c>
      <c r="C19" s="174">
        <f>MAX('Table 7-11-IULHostVEDInputs'!F32*(K18+B19+D19+E19+F19),0)</f>
        <v>0</v>
      </c>
      <c r="D19" s="174">
        <f>MAX(-'Tables 26a,b-MasterInputs'!$K57*('Table 12-IUL Census'!$G12*1000/(1+'Tables 26a,b-MasterInputs'!$E32)-(K18+B19+E19+F19)),-K18-E19)*IF(G18=0,0,1)</f>
        <v>-181536.22609678115</v>
      </c>
      <c r="E19" s="174">
        <f>-'Tables 26a,b-MasterInputs'!$G57*'Table 12-IUL Census'!D12*IF(G18=0,0,1)</f>
        <v>-16986.400000000001</v>
      </c>
      <c r="F19" s="174">
        <f>-'Tables 26a,b-MasterInputs'!$F57*B19</f>
        <v>0</v>
      </c>
      <c r="G19" s="85">
        <f t="shared" si="8"/>
        <v>2565877.3966183797</v>
      </c>
      <c r="H19" s="85">
        <f>-G19*'Tables 26a,b-MasterInputs'!$I57</f>
        <v>-2822.4651362802178</v>
      </c>
      <c r="I19" s="85">
        <f t="shared" si="9"/>
        <v>2563054.9314820995</v>
      </c>
      <c r="J19" s="85">
        <f>-I19*'Tables 26a,b-MasterInputs'!$J57</f>
        <v>-307566.59177785192</v>
      </c>
      <c r="K19" s="299">
        <f t="shared" si="10"/>
        <v>2255488.3397042477</v>
      </c>
      <c r="L19" s="107">
        <f>IFERROR(K19/'Table 12-IUL Census'!$G13,0)</f>
        <v>30.21096167072929</v>
      </c>
      <c r="M19" s="88">
        <f>'Table 12-IUL Census'!$F13</f>
        <v>10180.628976</v>
      </c>
      <c r="N19" s="89">
        <f>'Tables 26a,b-MasterInputs'!$H57</f>
        <v>18</v>
      </c>
      <c r="O19" s="175">
        <f t="shared" si="11"/>
        <v>183251.32156800001</v>
      </c>
      <c r="R19" s="137">
        <v>2</v>
      </c>
      <c r="S19" s="85">
        <f>'Table 12-IUL Census'!$G12*'Tables 26a,b-MasterInputs'!$C32</f>
        <v>2972620</v>
      </c>
      <c r="T19" s="300">
        <f>MAX('Table 7-11-IULHostVEDInputs'!F32*(AB18+S19+U19+V19+W19),0)</f>
        <v>0</v>
      </c>
      <c r="U19" s="300">
        <f>MAX(-'Tables 26a,b-MasterInputs'!$K57*('Table 12-IUL Census'!$G12*1000/(1+'Tables 26a,b-MasterInputs'!$E32)-(AB18+S19+V19+W19)),-AB18-V19)*IF(X18=0,0,1)</f>
        <v>-174934.98831518117</v>
      </c>
      <c r="V19" s="300">
        <f>-'Tables 26a,b-MasterInputs'!$G57*'Table 12-IUL Census'!$D12*IF(X18=0,0,1)</f>
        <v>-16986.400000000001</v>
      </c>
      <c r="W19" s="300">
        <f>-'Tables 26a,b-MasterInputs'!$F57*S19</f>
        <v>-59452.4</v>
      </c>
      <c r="X19" s="85">
        <f t="shared" si="12"/>
        <v>5485646.2343999799</v>
      </c>
      <c r="Y19" s="85">
        <f>-X19*'Tables 26a,b-MasterInputs'!$I57</f>
        <v>-6034.2108578399784</v>
      </c>
      <c r="Z19" s="85">
        <f t="shared" si="13"/>
        <v>5479612.0235421397</v>
      </c>
      <c r="AA19" s="85">
        <f>-Z19*'Tables 26a,b-MasterInputs'!$J57</f>
        <v>-657553.44282505673</v>
      </c>
      <c r="AB19" s="299">
        <f t="shared" si="14"/>
        <v>4822058.5807170831</v>
      </c>
      <c r="AC19" s="107">
        <f>IFERROR(AB19/'Table 12-IUL Census'!G13,0)</f>
        <v>64.588685470729288</v>
      </c>
      <c r="AD19" s="88">
        <f>'Table 12-IUL Census'!F13</f>
        <v>10180.628976</v>
      </c>
      <c r="AE19" s="89">
        <f>'Tables 26a,b-MasterInputs'!$H57</f>
        <v>18</v>
      </c>
      <c r="AF19" s="175">
        <f t="shared" si="15"/>
        <v>183251.32156800001</v>
      </c>
      <c r="AG19" s="303">
        <f t="shared" ref="AG19:AG37" ca="1" si="32">OFFSET(AJ19,0,AG$16)+OFFSET(AZ19,0,AG$16)-OFFSET(T19,0,AG$16)</f>
        <v>0</v>
      </c>
      <c r="AH19" s="137">
        <v>2</v>
      </c>
      <c r="AI19" s="85">
        <v>0</v>
      </c>
      <c r="AJ19" s="300">
        <f>MAX('Table 7-11-IULHostVEDInputs'!F32*(AR18+AI19+AK19+AL19+AM19),0)</f>
        <v>0</v>
      </c>
      <c r="AK19" s="300">
        <f>U19*(AR18/($AR18+$AY19))</f>
        <v>-84292.94019498548</v>
      </c>
      <c r="AL19" s="300">
        <f>V19*(AR18/($AR18+$AY19))</f>
        <v>-8184.9469515404217</v>
      </c>
      <c r="AM19" s="300">
        <f>-'Tables 26a,b-MasterInputs'!$F57*AI19</f>
        <v>0</v>
      </c>
      <c r="AN19" s="85">
        <f t="shared" si="16"/>
        <v>2671922.1355686351</v>
      </c>
      <c r="AO19" s="85">
        <f>-AN19*'Tables 26a,b-MasterInputs'!$I57</f>
        <v>-2939.1143491254988</v>
      </c>
      <c r="AP19" s="85">
        <f t="shared" si="17"/>
        <v>2668983.0212195097</v>
      </c>
      <c r="AQ19" s="85">
        <f>-AP19*'Tables 26a,b-MasterInputs'!$J57</f>
        <v>-320277.96254634112</v>
      </c>
      <c r="AR19" s="299">
        <f t="shared" si="18"/>
        <v>2348705.0586731685</v>
      </c>
      <c r="AS19" s="301">
        <f>IFERROR(AR19/'Table 12-IUL Census'!$G13,0)</f>
        <v>31.459545702075019</v>
      </c>
      <c r="AT19" s="88">
        <f>'Table 12-IUL Census'!$F13*($AR$18/($AR$18+$AY$19))</f>
        <v>4905.5661059362355</v>
      </c>
      <c r="AU19" s="89">
        <f>'Tables 26a,b-MasterInputs'!$H57</f>
        <v>18</v>
      </c>
      <c r="AV19" s="270">
        <f t="shared" si="19"/>
        <v>88300.189906852233</v>
      </c>
      <c r="AW19" s="120"/>
      <c r="AX19" s="137">
        <v>2</v>
      </c>
      <c r="AY19" s="85">
        <f>'Table 12-IUL Census'!$G12*'Tables 26a,b-MasterInputs'!$C32</f>
        <v>2972620</v>
      </c>
      <c r="AZ19" s="300">
        <f>MAX('Table 7-11-IULHostVEDInputs'!F32*(BH18+AY19+BA19+BB19+BC19),0)</f>
        <v>0</v>
      </c>
      <c r="BA19" s="300">
        <f>U19*(AY19/($AR18+$AY19))</f>
        <v>-90642.048120195701</v>
      </c>
      <c r="BB19" s="300">
        <f>V19*(AY19/($AR18+$AY19))</f>
        <v>-8801.4530484595798</v>
      </c>
      <c r="BC19" s="300">
        <f>-'Tables 26a,b-MasterInputs'!$F57*AY19</f>
        <v>-59452.4</v>
      </c>
      <c r="BD19" s="85">
        <f t="shared" ref="BD19:BD37" si="33">(AY19+BC19)+AZ19+BA19+BB19+BH18</f>
        <v>2813724.0988313449</v>
      </c>
      <c r="BE19" s="85">
        <f>-BD19*'Tables 26a,b-MasterInputs'!$I57</f>
        <v>-3095.0965087144796</v>
      </c>
      <c r="BF19" s="85">
        <f t="shared" ref="BF19:BF37" si="34">BD19+BE19</f>
        <v>2810629.0023226305</v>
      </c>
      <c r="BG19" s="85">
        <f>-BF19*'Tables 26a,b-MasterInputs'!$J57</f>
        <v>-337275.48027871567</v>
      </c>
      <c r="BH19" s="299">
        <f t="shared" ref="BH19:BH37" si="35">BF19+BG19</f>
        <v>2473353.522043915</v>
      </c>
      <c r="BI19" s="301">
        <f>IFERROR(BH19/'Table 12-IUL Census'!$G13,0)</f>
        <v>33.129139768654284</v>
      </c>
      <c r="BJ19" s="88">
        <f>'Table 12-IUL Census'!$F13*($AY$19/($AR$18+$AY$19))</f>
        <v>5275.0628700637644</v>
      </c>
      <c r="BK19" s="89">
        <f>'Tables 26a,b-MasterInputs'!$H57</f>
        <v>18</v>
      </c>
      <c r="BL19" s="270">
        <f t="shared" si="20"/>
        <v>94951.131661147752</v>
      </c>
      <c r="BM19" s="85"/>
      <c r="BO19" s="137">
        <v>2</v>
      </c>
      <c r="BP19" s="85">
        <f>'Table 12-IUL Census'!$G12*'Tables 26a,b-MasterInputs'!$C32</f>
        <v>2972620</v>
      </c>
      <c r="BQ19" s="302">
        <f>MAX('Table 7-11-IULHostVEDInputs'!F32*(BY18+BP19+BR19+BS19+BT19),0)</f>
        <v>0</v>
      </c>
      <c r="BR19" s="302">
        <f>MAX(-'Tables 26a,b-MasterInputs'!$K57*('Table 12-IUL Census'!$G12*1000/(1+'Tables 26a,b-MasterInputs'!$E32)-(BY18+BP19+BS19+BT19)),-BY18-BS19)*IF(BU18=0,0,1)</f>
        <v>-174934.98831518117</v>
      </c>
      <c r="BS19" s="302">
        <f>-'Tables 26a,b-MasterInputs'!$G57*'Table 12-IUL Census'!$D12*IF(BU18=0,0,1)</f>
        <v>-16986.400000000001</v>
      </c>
      <c r="BT19" s="302">
        <f>-'Tables 26a,b-MasterInputs'!$F57*BP19</f>
        <v>-59452.4</v>
      </c>
      <c r="BU19" s="85">
        <f t="shared" si="21"/>
        <v>5485646.2343999799</v>
      </c>
      <c r="BV19" s="85">
        <f>-BU19*'Tables 26a,b-MasterInputs'!$I57</f>
        <v>-6034.2108578399784</v>
      </c>
      <c r="BW19" s="85">
        <f t="shared" si="22"/>
        <v>5479612.0235421397</v>
      </c>
      <c r="BX19" s="85">
        <f>-BW19*'Tables 26a,b-MasterInputs'!$J57</f>
        <v>-657553.44282505673</v>
      </c>
      <c r="BY19" s="299">
        <f t="shared" si="23"/>
        <v>4822058.5807170831</v>
      </c>
      <c r="BZ19" s="107">
        <f>IFERROR(BY19/'Table 12-IUL Census'!$G13,0)</f>
        <v>64.588685470729288</v>
      </c>
      <c r="CA19" s="88">
        <f>'Table 12-IUL Census'!$F13</f>
        <v>10180.628976</v>
      </c>
      <c r="CB19" s="89">
        <f>'Tables 26a,b-MasterInputs'!$H57</f>
        <v>18</v>
      </c>
      <c r="CC19" s="175">
        <f t="shared" si="24"/>
        <v>183251.32156800001</v>
      </c>
      <c r="CD19" s="303">
        <f t="shared" ca="1" si="25"/>
        <v>0</v>
      </c>
      <c r="CE19" s="137">
        <v>2</v>
      </c>
      <c r="CF19" s="85">
        <v>0</v>
      </c>
      <c r="CG19" s="302">
        <f>MAX('Table 7-11-IULHostVEDInputs'!F32*(CO18+CF19+CH19+CI19+CJ19),0)</f>
        <v>0</v>
      </c>
      <c r="CH19" s="300">
        <f>BR19*(CO18/(CO18+CV19+DL19))</f>
        <v>-84292.94019498548</v>
      </c>
      <c r="CI19" s="300">
        <f>BS19*(CO18/(CO18+CV19+DL19))</f>
        <v>-8184.9469515404217</v>
      </c>
      <c r="CJ19" s="300">
        <f>-'Tables 26a,b-MasterInputs'!$F57*CF19</f>
        <v>0</v>
      </c>
      <c r="CK19" s="85">
        <f t="shared" si="26"/>
        <v>2671922.1355686351</v>
      </c>
      <c r="CL19" s="85">
        <f>-CK19*'Tables 26a,b-MasterInputs'!$I57</f>
        <v>-2939.1143491254988</v>
      </c>
      <c r="CM19" s="85">
        <f t="shared" si="27"/>
        <v>2668983.0212195097</v>
      </c>
      <c r="CN19" s="85">
        <f>-CM19*'Tables 26a,b-MasterInputs'!$J57</f>
        <v>-320277.96254634112</v>
      </c>
      <c r="CO19" s="299">
        <f t="shared" si="28"/>
        <v>2348705.0586731685</v>
      </c>
      <c r="CP19" s="301">
        <f>IFERROR(CO19/'Table 12-IUL Census'!$G13,0)</f>
        <v>31.459545702075019</v>
      </c>
      <c r="CQ19" s="88">
        <f>'Table 12-IUL Census'!$F13*(CO18/(CO18+CV19+DL19))</f>
        <v>4905.5661059362355</v>
      </c>
      <c r="CR19" s="89">
        <f>'Tables 26a,b-MasterInputs'!$H57</f>
        <v>18</v>
      </c>
      <c r="CS19" s="270">
        <f t="shared" si="29"/>
        <v>88300.189906852233</v>
      </c>
      <c r="CU19" s="137">
        <v>2</v>
      </c>
      <c r="CV19" s="85">
        <f>'Table 12-IUL Census'!$G12*'Tables 26a,b-MasterInputs'!$C32</f>
        <v>2972620</v>
      </c>
      <c r="CW19" s="302">
        <f>MAX('Table 7-11-IULHostVEDInputs'!F32*(DE18+CV19+CX19+CY19+CZ19),0)</f>
        <v>0</v>
      </c>
      <c r="CX19" s="300">
        <f>BR19*(CV19/(CO18+CV19+DL19))</f>
        <v>-90642.048120195701</v>
      </c>
      <c r="CY19" s="300">
        <f>-'Tables 26a,b-MasterInputs'!$G57*'Table 12-IUL Census'!$D12*IF(CK18=0,0,1)*(CV19/(CO18+CV19+DL19))</f>
        <v>-8801.4530484595798</v>
      </c>
      <c r="CZ19" s="300">
        <f>-'Tables 26a,b-MasterInputs'!$F57*CV19</f>
        <v>-59452.4</v>
      </c>
      <c r="DA19" s="85">
        <f t="shared" ref="DA19:DA37" si="36">(CV19+CZ19)+CW19+CX19+CY19+DE18</f>
        <v>2813724.0988313449</v>
      </c>
      <c r="DB19" s="85">
        <f>-DA19*'Tables 26a,b-MasterInputs'!$I57</f>
        <v>-3095.0965087144796</v>
      </c>
      <c r="DC19" s="85">
        <f t="shared" ref="DC19:DC37" si="37">DA19+DB19</f>
        <v>2810629.0023226305</v>
      </c>
      <c r="DD19" s="85">
        <f>-DC19*'Tables 26a,b-MasterInputs'!$J57</f>
        <v>-337275.48027871567</v>
      </c>
      <c r="DE19" s="299">
        <f t="shared" ref="DE19:DE37" si="38">DC19+DD19</f>
        <v>2473353.522043915</v>
      </c>
      <c r="DF19" s="301">
        <f>IFERROR(DE19/'Table 12-IUL Census'!$G13,0)</f>
        <v>33.129139768654284</v>
      </c>
      <c r="DG19" s="88">
        <f>'Table 12-IUL Census'!$F13*(CV19/(CO18+CV19+DL19))</f>
        <v>5275.0628700637644</v>
      </c>
      <c r="DH19" s="89">
        <f>'Tables 26a,b-MasterInputs'!$H57</f>
        <v>18</v>
      </c>
      <c r="DI19" s="270">
        <f t="shared" si="30"/>
        <v>94951.131661147752</v>
      </c>
      <c r="DK19" s="137">
        <v>2</v>
      </c>
      <c r="DL19" s="85">
        <v>0</v>
      </c>
      <c r="DM19" s="302">
        <f>MAX('Table 7-11-IULHostVEDInputs'!F32*(DU18+DL19+DN19+DO19+DP19),0)</f>
        <v>0</v>
      </c>
      <c r="DN19" s="300">
        <f>CH19*(CF19/($AB18+$S19))</f>
        <v>0</v>
      </c>
      <c r="DO19" s="300">
        <f>-'Tables 26a,b-MasterInputs'!$G57*'Table 12-IUL Census'!$D12*IF(DQ18=0,0,1)</f>
        <v>0</v>
      </c>
      <c r="DP19" s="300">
        <v>0</v>
      </c>
      <c r="DQ19" s="85">
        <f t="shared" ref="DQ19:DQ37" si="39">(DL19+DP19)+DM19+DN19+DO19+DU18</f>
        <v>0</v>
      </c>
      <c r="DR19" s="85">
        <f>-DQ19*'Tables 26a,b-MasterInputs'!$I57</f>
        <v>0</v>
      </c>
      <c r="DS19" s="85">
        <f t="shared" ref="DS19:DS37" si="40">DQ19+DR19</f>
        <v>0</v>
      </c>
      <c r="DT19" s="85">
        <f>-DS19*'Tables 26a,b-MasterInputs'!$J57</f>
        <v>0</v>
      </c>
      <c r="DU19" s="299">
        <f t="shared" ref="DU19:DU37" si="41">DS19+DT19</f>
        <v>0</v>
      </c>
      <c r="DV19" s="301">
        <f>IFERROR(DU19/'Table 12-IUL Census'!$G13,0)</f>
        <v>0</v>
      </c>
      <c r="DW19" s="88">
        <v>0</v>
      </c>
      <c r="DX19" s="89">
        <v>0</v>
      </c>
      <c r="DY19" s="270">
        <f t="shared" si="31"/>
        <v>0</v>
      </c>
      <c r="EL19" s="88"/>
    </row>
    <row r="20" spans="1:147" x14ac:dyDescent="0.25">
      <c r="A20" s="137">
        <v>3</v>
      </c>
      <c r="B20" s="85">
        <v>0</v>
      </c>
      <c r="C20" s="174">
        <f>MAX('Table 7-11-IULHostVEDInputs'!F33*(K19+B20+D20+E20+F20),0)</f>
        <v>0</v>
      </c>
      <c r="D20" s="174">
        <f>MAX(-'Tables 26a,b-MasterInputs'!$K58*('Table 12-IUL Census'!$G13*1000/(1+'Tables 26a,b-MasterInputs'!$E33)-(K19+B20+E20+F20)),-K19-E20)*IF(G19=0,0,1)</f>
        <v>-207963.06237142111</v>
      </c>
      <c r="E20" s="174">
        <f>-'Tables 26a,b-MasterInputs'!$G58*'Table 12-IUL Census'!$D13*IF(G19=0,0,1)</f>
        <v>-14931.5891648</v>
      </c>
      <c r="F20" s="174">
        <f>-'Tables 26a,b-MasterInputs'!$F58*B20</f>
        <v>0</v>
      </c>
      <c r="G20" s="85">
        <f t="shared" si="8"/>
        <v>2032593.6881680265</v>
      </c>
      <c r="H20" s="85">
        <f>-G20*'Tables 26a,b-MasterInputs'!$I58</f>
        <v>-2906.6089740802781</v>
      </c>
      <c r="I20" s="85">
        <f t="shared" si="9"/>
        <v>2029687.0791939462</v>
      </c>
      <c r="J20" s="85">
        <f>-I20*'Tables 26a,b-MasterInputs'!$J58</f>
        <v>-202968.70791939463</v>
      </c>
      <c r="K20" s="299">
        <f t="shared" si="10"/>
        <v>1826718.3712745516</v>
      </c>
      <c r="L20" s="107">
        <f>IFERROR(K20/'Table 12-IUL Census'!$G14,0)</f>
        <v>27.225416742106727</v>
      </c>
      <c r="M20" s="88">
        <f>'Table 12-IUL Census'!F14</f>
        <v>7455.1184961471681</v>
      </c>
      <c r="N20" s="89">
        <f>'Tables 26a,b-MasterInputs'!$H58</f>
        <v>16</v>
      </c>
      <c r="O20" s="175">
        <f t="shared" si="11"/>
        <v>119281.89593835469</v>
      </c>
      <c r="R20" s="137">
        <v>3</v>
      </c>
      <c r="S20" s="85">
        <v>0</v>
      </c>
      <c r="T20" s="300">
        <f>MAX('Table 7-11-IULHostVEDInputs'!F33*(AB19+S20+U20+V20+W20),0)</f>
        <v>0</v>
      </c>
      <c r="U20" s="174">
        <f>MAX(-'Tables 26a,b-MasterInputs'!$K58*('Table 12-IUL Census'!$G13*1000/(1+'Tables 26a,b-MasterInputs'!$E33)-(AB19+S20+V20+W20)),-AB19-V20)*IF(X19=0,0,1)</f>
        <v>-200402.45975544554</v>
      </c>
      <c r="V20" s="174">
        <f>-'Tables 26a,b-MasterInputs'!$G58*'Table 12-IUL Census'!$D13*IF(X19=0,0,1)</f>
        <v>-14931.5891648</v>
      </c>
      <c r="W20" s="174">
        <f>-'Tables 26a,b-MasterInputs'!$F58*S20</f>
        <v>0</v>
      </c>
      <c r="X20" s="85">
        <f t="shared" si="12"/>
        <v>4606724.5317968372</v>
      </c>
      <c r="Y20" s="85">
        <f>-X20*'Tables 26a,b-MasterInputs'!$I58</f>
        <v>-6587.6160804694773</v>
      </c>
      <c r="Z20" s="85">
        <f t="shared" si="13"/>
        <v>4600136.9157163678</v>
      </c>
      <c r="AA20" s="85">
        <f>-Z20*'Tables 26a,b-MasterInputs'!$J58</f>
        <v>-460013.69157163682</v>
      </c>
      <c r="AB20" s="299">
        <f t="shared" si="14"/>
        <v>4140123.2241447307</v>
      </c>
      <c r="AC20" s="107">
        <f>IFERROR(AB20/'Table 12-IUL Census'!G14,0)</f>
        <v>61.704410440876764</v>
      </c>
      <c r="AD20" s="88">
        <f>'Table 12-IUL Census'!F14</f>
        <v>7455.1184961471681</v>
      </c>
      <c r="AE20" s="89">
        <f>'Tables 26a,b-MasterInputs'!$H58</f>
        <v>16</v>
      </c>
      <c r="AF20" s="175">
        <f t="shared" si="15"/>
        <v>119281.89593835469</v>
      </c>
      <c r="AG20" s="303">
        <f t="shared" ca="1" si="32"/>
        <v>0</v>
      </c>
      <c r="AH20" s="137">
        <v>3</v>
      </c>
      <c r="AI20" s="85">
        <v>0</v>
      </c>
      <c r="AJ20" s="300">
        <f>MAX('Table 7-11-IULHostVEDInputs'!F33*(AR19+AI20+AK20+AL20+AM20),0)</f>
        <v>0</v>
      </c>
      <c r="AK20" s="300">
        <f t="shared" ref="AK20:AK37" si="42">U20*(AR19/($AR19+BH19))</f>
        <v>-97611.064469516627</v>
      </c>
      <c r="AL20" s="300">
        <f t="shared" ref="AL20:AL37" si="43">V20*(AR19/($AR19+BH19))</f>
        <v>-7272.806503354429</v>
      </c>
      <c r="AM20" s="300">
        <f t="shared" ref="AM20:AM37" si="44">F20</f>
        <v>0</v>
      </c>
      <c r="AN20" s="85">
        <f t="shared" si="16"/>
        <v>2243821.1877002977</v>
      </c>
      <c r="AO20" s="85">
        <f>-AN20*'Tables 26a,b-MasterInputs'!$I58</f>
        <v>-3208.664298411426</v>
      </c>
      <c r="AP20" s="85">
        <f t="shared" si="17"/>
        <v>2240612.5234018862</v>
      </c>
      <c r="AQ20" s="85">
        <f>-AP20*'Tables 26a,b-MasterInputs'!$J58</f>
        <v>-224061.25234018863</v>
      </c>
      <c r="AR20" s="299">
        <f t="shared" si="18"/>
        <v>2016551.2710616975</v>
      </c>
      <c r="AS20" s="301">
        <f>IFERROR(AR20/'Table 12-IUL Census'!$G14,0)</f>
        <v>30.054686918254124</v>
      </c>
      <c r="AT20" s="88">
        <f>'Table 12-IUL Census'!$F14*(AR19/($AR19+BH19))</f>
        <v>3631.2031950273163</v>
      </c>
      <c r="AU20" s="89">
        <f>'Tables 26a,b-MasterInputs'!$H58</f>
        <v>16</v>
      </c>
      <c r="AV20" s="270">
        <f t="shared" si="19"/>
        <v>58099.25112043706</v>
      </c>
      <c r="AW20" s="120"/>
      <c r="AX20" s="137">
        <v>3</v>
      </c>
      <c r="AY20" s="85">
        <v>0</v>
      </c>
      <c r="AZ20" s="300">
        <f>MAX('Table 7-11-IULHostVEDInputs'!F33*(BH19+AY20+BA20+BB20+BC20),0)</f>
        <v>0</v>
      </c>
      <c r="BA20" s="300">
        <f t="shared" ref="BA20:BA37" si="45">U20*(BH19/($AR19+BH19))</f>
        <v>-102791.39528592894</v>
      </c>
      <c r="BB20" s="300">
        <f t="shared" ref="BB20:BB37" si="46">V20*(BH19/($AR19+BH19))</f>
        <v>-7658.7826614455726</v>
      </c>
      <c r="BC20" s="300">
        <f t="shared" ref="BC20:BC37" si="47">W20-AM20</f>
        <v>0</v>
      </c>
      <c r="BD20" s="85">
        <f t="shared" si="33"/>
        <v>2362903.3440965405</v>
      </c>
      <c r="BE20" s="85">
        <f>-BD20*'Tables 26a,b-MasterInputs'!$I58</f>
        <v>-3378.9517820580531</v>
      </c>
      <c r="BF20" s="85">
        <f t="shared" si="34"/>
        <v>2359524.3923144825</v>
      </c>
      <c r="BG20" s="85">
        <f>-BF20*'Tables 26a,b-MasterInputs'!$J58</f>
        <v>-235952.43923144825</v>
      </c>
      <c r="BH20" s="270">
        <f t="shared" si="35"/>
        <v>2123571.9530830341</v>
      </c>
      <c r="BI20" s="301">
        <f>IFERROR(BH20/'Table 12-IUL Census'!$G14,0)</f>
        <v>31.649723522622658</v>
      </c>
      <c r="BJ20" s="88">
        <f>'Table 12-IUL Census'!$F14*(BH19/($AR19+BH19))</f>
        <v>3823.9153011198528</v>
      </c>
      <c r="BK20" s="89">
        <f>'Tables 26a,b-MasterInputs'!$H58</f>
        <v>16</v>
      </c>
      <c r="BL20" s="270">
        <f t="shared" si="20"/>
        <v>61182.644817917644</v>
      </c>
      <c r="BO20" s="137">
        <v>3</v>
      </c>
      <c r="BP20" s="85">
        <f>'Table 12-IUL Census'!$G13*'Tables 26a,b-MasterInputs'!$C33</f>
        <v>2613028.10384</v>
      </c>
      <c r="BQ20" s="302">
        <f>MAX('Table 7-11-IULHostVEDInputs'!F33*(BY19+BP20+BR20+BS20+BT20),0)</f>
        <v>0</v>
      </c>
      <c r="BR20" s="302">
        <f>MAX(-'Tables 26a,b-MasterInputs'!$K58*('Table 12-IUL Census'!$G13*1000/(1+'Tables 26a,b-MasterInputs'!$E33)-(BY19+BP20+BS20+BT20)),-BY19-BS20)*IF(BU19=0,0,1)</f>
        <v>-192858.95073091949</v>
      </c>
      <c r="BS20" s="302">
        <f>-'Tables 26a,b-MasterInputs'!$G58*'Table 12-IUL Census'!$D13*IF(BU19=0,0,1)</f>
        <v>-14931.5891648</v>
      </c>
      <c r="BT20" s="302">
        <f>-'Tables 26a,b-MasterInputs'!$F58*BP20</f>
        <v>-52260.562076800001</v>
      </c>
      <c r="BU20" s="85">
        <f t="shared" si="21"/>
        <v>7175035.5825845636</v>
      </c>
      <c r="BV20" s="85">
        <f>-BU20*'Tables 26a,b-MasterInputs'!$I58</f>
        <v>-10260.300883095926</v>
      </c>
      <c r="BW20" s="85">
        <f t="shared" si="22"/>
        <v>7164775.2817014679</v>
      </c>
      <c r="BX20" s="85">
        <f>-BW20*'Tables 26a,b-MasterInputs'!$J58</f>
        <v>-716477.52817014686</v>
      </c>
      <c r="BY20" s="299">
        <f t="shared" si="23"/>
        <v>6448297.753531321</v>
      </c>
      <c r="BZ20" s="107">
        <f>IFERROR(BY20/'Table 12-IUL Census'!$G14,0)</f>
        <v>96.105451380876772</v>
      </c>
      <c r="CA20" s="88">
        <f>'Table 12-IUL Census'!$F14</f>
        <v>7455.1184961471681</v>
      </c>
      <c r="CB20" s="89">
        <f>'Tables 26a,b-MasterInputs'!$H58</f>
        <v>16</v>
      </c>
      <c r="CC20" s="175">
        <f t="shared" si="24"/>
        <v>119281.89593835469</v>
      </c>
      <c r="CD20" s="303">
        <f t="shared" ca="1" si="25"/>
        <v>0</v>
      </c>
      <c r="CE20" s="137">
        <v>3</v>
      </c>
      <c r="CF20" s="85">
        <v>0</v>
      </c>
      <c r="CG20" s="302">
        <f>MAX('Table 7-11-IULHostVEDInputs'!F33*(CO19+CF20+CH20+CI20+CJ20),0)</f>
        <v>0</v>
      </c>
      <c r="CH20" s="300">
        <f>$BR20*(CO19/(CO19+DE19+DL20))</f>
        <v>-60923.135453543655</v>
      </c>
      <c r="CI20" s="300">
        <f>BS20*(CO19/(CO19+DE19+DL20))</f>
        <v>-4716.8110464988331</v>
      </c>
      <c r="CJ20" s="300">
        <f t="shared" ref="CJ20:CJ37" si="48">BC20</f>
        <v>0</v>
      </c>
      <c r="CK20" s="85">
        <f t="shared" si="26"/>
        <v>2283065.1121731261</v>
      </c>
      <c r="CL20" s="85">
        <f>-CK20*'Tables 26a,b-MasterInputs'!$I58</f>
        <v>-3264.7831104075703</v>
      </c>
      <c r="CM20" s="85">
        <f t="shared" si="27"/>
        <v>2279800.3290627184</v>
      </c>
      <c r="CN20" s="85">
        <f>-CM20*'Tables 26a,b-MasterInputs'!$J58</f>
        <v>-227980.03290627187</v>
      </c>
      <c r="CO20" s="299">
        <f t="shared" si="28"/>
        <v>2051820.2961564464</v>
      </c>
      <c r="CP20" s="301">
        <f>IFERROR(CO20/'Table 12-IUL Census'!$G14,0)</f>
        <v>30.580336586748118</v>
      </c>
      <c r="CQ20" s="88">
        <f>'Table 12-IUL Census'!$F14*(CO19/(CO19+DE19+DL20))</f>
        <v>2355.0330033511696</v>
      </c>
      <c r="CR20" s="89">
        <f>'Tables 26a,b-MasterInputs'!$H58</f>
        <v>16</v>
      </c>
      <c r="CS20" s="270">
        <f t="shared" si="29"/>
        <v>37680.528053618713</v>
      </c>
      <c r="CU20" s="137">
        <v>3</v>
      </c>
      <c r="CV20" s="85">
        <v>0</v>
      </c>
      <c r="CW20" s="302">
        <f>MAX('Table 7-11-IULHostVEDInputs'!F33*(DE19+CV20+CX20+CY20+CZ20),0)</f>
        <v>0</v>
      </c>
      <c r="CX20" s="300">
        <f>$BR20*($DE19/(CO19+DE19+DL20))</f>
        <v>-64156.395921889583</v>
      </c>
      <c r="CY20" s="300">
        <f>BS20*(DE19/(CO19+DE19+DL20))</f>
        <v>-4967.1376027367551</v>
      </c>
      <c r="CZ20" s="300">
        <v>0</v>
      </c>
      <c r="DA20" s="85">
        <f t="shared" si="36"/>
        <v>2404229.9885192886</v>
      </c>
      <c r="DB20" s="85">
        <f>-DA20*'Tables 26a,b-MasterInputs'!$I58</f>
        <v>-3438.0488835825827</v>
      </c>
      <c r="DC20" s="85">
        <f t="shared" si="37"/>
        <v>2400791.9396357061</v>
      </c>
      <c r="DD20" s="85">
        <f>-DC20*'Tables 26a,b-MasterInputs'!$J58</f>
        <v>-240079.19396357064</v>
      </c>
      <c r="DE20" s="270">
        <f t="shared" si="38"/>
        <v>2160712.7456721356</v>
      </c>
      <c r="DF20" s="301">
        <f>IFERROR(DE20/'Table 12-IUL Census'!$G14,0)</f>
        <v>32.203270020140451</v>
      </c>
      <c r="DG20" s="88">
        <f>'Table 12-IUL Census'!$F14*(DE19/(CO19+DE19+DL20))</f>
        <v>2480.017297982421</v>
      </c>
      <c r="DH20" s="89">
        <f>'Tables 26a,b-MasterInputs'!$H58</f>
        <v>16</v>
      </c>
      <c r="DI20" s="270">
        <f t="shared" si="30"/>
        <v>39680.276767718737</v>
      </c>
      <c r="DK20" s="137">
        <v>3</v>
      </c>
      <c r="DL20" s="85">
        <f>'Table 12-IUL Census'!$G13*'Tables 26a,b-MasterInputs'!$C33</f>
        <v>2613028.10384</v>
      </c>
      <c r="DM20" s="302">
        <f>MAX('Table 7-11-IULHostVEDInputs'!F33*(DU19+DL20+DN20+DO20+DP20),0)</f>
        <v>0</v>
      </c>
      <c r="DN20" s="300">
        <f>BR20*($DL20/(CO19+DE19+DL20))</f>
        <v>-67779.419355486258</v>
      </c>
      <c r="DO20" s="300">
        <f>BS20*($DL20/(CO19+DE19+DL20))</f>
        <v>-5247.6405155644125</v>
      </c>
      <c r="DP20" s="300">
        <f>-'Tables 26a,b-MasterInputs'!$F58*DL20</f>
        <v>-52260.562076800001</v>
      </c>
      <c r="DQ20" s="85">
        <f t="shared" si="39"/>
        <v>2487740.4818921494</v>
      </c>
      <c r="DR20" s="85">
        <f>-DQ20*'Tables 26a,b-MasterInputs'!$I58</f>
        <v>-3557.468889105774</v>
      </c>
      <c r="DS20" s="85">
        <f t="shared" si="40"/>
        <v>2484183.0130030438</v>
      </c>
      <c r="DT20" s="85">
        <f>-DS20*'Tables 26a,b-MasterInputs'!$J58</f>
        <v>-248418.30130030439</v>
      </c>
      <c r="DU20" s="270">
        <f t="shared" si="41"/>
        <v>2235764.7117027394</v>
      </c>
      <c r="DV20" s="301">
        <f>IFERROR(DU20/'Table 12-IUL Census'!$G14,0)</f>
        <v>33.321844773988218</v>
      </c>
      <c r="DW20" s="88">
        <f>'Table 12-IUL Census'!$F14*(DL20/(CO19+DE19+DL20))</f>
        <v>2620.068194813578</v>
      </c>
      <c r="DX20" s="89">
        <f>'Tables 26a,b-MasterInputs'!$H58</f>
        <v>16</v>
      </c>
      <c r="DY20" s="270">
        <f t="shared" si="31"/>
        <v>41921.091117017248</v>
      </c>
      <c r="EJ20" s="88"/>
      <c r="EK20" s="88"/>
      <c r="EL20" s="88"/>
      <c r="EM20" s="88"/>
      <c r="EN20" s="88"/>
      <c r="EO20" s="85"/>
      <c r="EP20" s="85"/>
      <c r="EQ20" s="85"/>
    </row>
    <row r="21" spans="1:147" x14ac:dyDescent="0.25">
      <c r="A21" s="137">
        <v>4</v>
      </c>
      <c r="B21" s="85">
        <v>0</v>
      </c>
      <c r="C21" s="174">
        <f>MAX('Table 7-11-IULHostVEDInputs'!F34*(K20+B21+D21+E21+F21),0)</f>
        <v>0</v>
      </c>
      <c r="D21" s="174">
        <f>MAX(-'Tables 26a,b-MasterInputs'!$K59*('Table 12-IUL Census'!$G14*1000/(1+'Tables 26a,b-MasterInputs'!$E34)-(K20+B21+E21+F21)),-K20-E21)*IF(G20=0,0,1)</f>
        <v>-224200.37846487697</v>
      </c>
      <c r="E21" s="174">
        <f>-'Tables 26a,b-MasterInputs'!$G59*'Table 12-IUL Census'!D14*IF(G20=0,0,1)</f>
        <v>-13419.213293064902</v>
      </c>
      <c r="F21" s="174">
        <f>-'Tables 26a,b-MasterInputs'!$F59*B21</f>
        <v>0</v>
      </c>
      <c r="G21" s="85">
        <f t="shared" si="8"/>
        <v>1589098.7795166099</v>
      </c>
      <c r="H21" s="85">
        <f>-G21*'Tables 26a,b-MasterInputs'!$I59</f>
        <v>-2717.3589129734028</v>
      </c>
      <c r="I21" s="85">
        <f t="shared" si="9"/>
        <v>1586381.4206036364</v>
      </c>
      <c r="J21" s="85">
        <f>-I21*'Tables 26a,b-MasterInputs'!$J59</f>
        <v>-142774.32785432728</v>
      </c>
      <c r="K21" s="299">
        <f t="shared" si="10"/>
        <v>1443607.0927493093</v>
      </c>
      <c r="L21" s="107">
        <f>IFERROR(K21/'Table 12-IUL Census'!$G15,0)</f>
        <v>23.683933548293208</v>
      </c>
      <c r="M21" s="88">
        <f>'Table 12-IUL Census'!F15</f>
        <v>6028.3198972501932</v>
      </c>
      <c r="N21" s="89">
        <f>'Tables 26a,b-MasterInputs'!$H59</f>
        <v>14</v>
      </c>
      <c r="O21" s="175">
        <f t="shared" si="11"/>
        <v>84396.478561502707</v>
      </c>
      <c r="R21" s="137">
        <v>4</v>
      </c>
      <c r="S21" s="85">
        <v>0</v>
      </c>
      <c r="T21" s="300">
        <f>MAX('Table 7-11-IULHostVEDInputs'!F34*(AB20+S21+U21+V21+W21),0)</f>
        <v>0</v>
      </c>
      <c r="U21" s="174">
        <f>MAX(-'Tables 26a,b-MasterInputs'!$K59*('Table 12-IUL Census'!$G14*1000/(1+'Tables 26a,b-MasterInputs'!$E34)-(AB20+S21+V21+W21)),-AB20-V21)*IF(X20=0,0,1)</f>
        <v>-216051.17853015647</v>
      </c>
      <c r="V21" s="174">
        <f>-'Tables 26a,b-MasterInputs'!$G59*'Table 12-IUL Census'!$D14*IF(X20=0,0,1)</f>
        <v>-13419.213293064902</v>
      </c>
      <c r="W21" s="174">
        <f>-'Tables 26a,b-MasterInputs'!$F59*S21</f>
        <v>0</v>
      </c>
      <c r="X21" s="85">
        <f t="shared" si="12"/>
        <v>3910652.8323215093</v>
      </c>
      <c r="Y21" s="85">
        <f>-X21*'Tables 26a,b-MasterInputs'!$I59</f>
        <v>-6687.2163432697807</v>
      </c>
      <c r="Z21" s="85">
        <f t="shared" si="13"/>
        <v>3903965.6159782396</v>
      </c>
      <c r="AA21" s="85">
        <f>-Z21*'Tables 26a,b-MasterInputs'!$J59</f>
        <v>-351356.90543804155</v>
      </c>
      <c r="AB21" s="299">
        <f t="shared" si="14"/>
        <v>3552608.7105401978</v>
      </c>
      <c r="AC21" s="107">
        <f>IFERROR(AB21/'Table 12-IUL Census'!G15,0)</f>
        <v>58.284382950266526</v>
      </c>
      <c r="AD21" s="88">
        <f>'Table 12-IUL Census'!F15</f>
        <v>6028.3198972501932</v>
      </c>
      <c r="AE21" s="89">
        <f>'Tables 26a,b-MasterInputs'!$H59</f>
        <v>14</v>
      </c>
      <c r="AF21" s="175">
        <f t="shared" si="15"/>
        <v>84396.478561502707</v>
      </c>
      <c r="AG21" s="303">
        <f t="shared" ca="1" si="32"/>
        <v>0</v>
      </c>
      <c r="AH21" s="137">
        <v>4</v>
      </c>
      <c r="AI21" s="85">
        <v>0</v>
      </c>
      <c r="AJ21" s="300">
        <f>MAX('Table 7-11-IULHostVEDInputs'!F34*(AR20+AI21+AK21+AL21+AM21),0)</f>
        <v>0</v>
      </c>
      <c r="AK21" s="300">
        <f t="shared" si="42"/>
        <v>-105233.1670078171</v>
      </c>
      <c r="AL21" s="300">
        <f t="shared" si="43"/>
        <v>-6536.1657510491686</v>
      </c>
      <c r="AM21" s="300">
        <f t="shared" si="44"/>
        <v>0</v>
      </c>
      <c r="AN21" s="85">
        <f t="shared" si="16"/>
        <v>1904781.9383028313</v>
      </c>
      <c r="AO21" s="85">
        <f>-AN21*'Tables 26a,b-MasterInputs'!$I59</f>
        <v>-3257.1771144978411</v>
      </c>
      <c r="AP21" s="85">
        <f t="shared" si="17"/>
        <v>1901524.7611883334</v>
      </c>
      <c r="AQ21" s="85">
        <f>-AP21*'Tables 26a,b-MasterInputs'!$J59</f>
        <v>-171137.22850694999</v>
      </c>
      <c r="AR21" s="299">
        <f t="shared" si="18"/>
        <v>1730387.5326813834</v>
      </c>
      <c r="AS21" s="301">
        <f>IFERROR(AR21/'Table 12-IUL Census'!$G15,0)</f>
        <v>28.388876407340952</v>
      </c>
      <c r="AT21" s="88">
        <f>'Table 12-IUL Census'!$F15*(AR20/($AR20+BH20))</f>
        <v>2936.2450084266939</v>
      </c>
      <c r="AU21" s="89">
        <f>'Tables 26a,b-MasterInputs'!$H59</f>
        <v>14</v>
      </c>
      <c r="AV21" s="270">
        <f t="shared" si="19"/>
        <v>41107.430117973716</v>
      </c>
      <c r="AW21" s="120"/>
      <c r="AX21" s="137">
        <v>4</v>
      </c>
      <c r="AY21" s="85">
        <v>0</v>
      </c>
      <c r="AZ21" s="300">
        <f>MAX('Table 7-11-IULHostVEDInputs'!F34*(BH20+AY21+BA21+BB21+BC21),0)</f>
        <v>0</v>
      </c>
      <c r="BA21" s="300">
        <f t="shared" si="45"/>
        <v>-110818.01152233935</v>
      </c>
      <c r="BB21" s="300">
        <f t="shared" si="46"/>
        <v>-6883.0475420157327</v>
      </c>
      <c r="BC21" s="300">
        <f t="shared" si="47"/>
        <v>0</v>
      </c>
      <c r="BD21" s="85">
        <f t="shared" si="33"/>
        <v>2005870.8940186792</v>
      </c>
      <c r="BE21" s="85">
        <f>-BD21*'Tables 26a,b-MasterInputs'!$I59</f>
        <v>-3430.039228771941</v>
      </c>
      <c r="BF21" s="85">
        <f t="shared" si="34"/>
        <v>2002440.8547899071</v>
      </c>
      <c r="BG21" s="85">
        <f>-BF21*'Tables 26a,b-MasterInputs'!$J59</f>
        <v>-180219.67693109164</v>
      </c>
      <c r="BH21" s="270">
        <f t="shared" si="35"/>
        <v>1822221.1778588155</v>
      </c>
      <c r="BI21" s="301">
        <f>IFERROR(BH21/'Table 12-IUL Census'!$G15,0)</f>
        <v>29.895506542925592</v>
      </c>
      <c r="BJ21" s="88">
        <f>'Table 12-IUL Census'!$F15*(BH20/($AR20+BH20))</f>
        <v>3092.0748888234989</v>
      </c>
      <c r="BK21" s="89">
        <f>'Tables 26a,b-MasterInputs'!$H59</f>
        <v>14</v>
      </c>
      <c r="BL21" s="270">
        <f t="shared" si="20"/>
        <v>43289.048443528984</v>
      </c>
      <c r="BO21" s="137">
        <v>4</v>
      </c>
      <c r="BP21" s="85">
        <v>0</v>
      </c>
      <c r="BQ21" s="302">
        <f>MAX('Table 7-11-IULHostVEDInputs'!F34*(BY20+BP21+BR21+BS21+BT21),0)</f>
        <v>0</v>
      </c>
      <c r="BR21" s="302">
        <f>MAX(-'Tables 26a,b-MasterInputs'!$K59*('Table 12-IUL Census'!$G14*1000/(1+'Tables 26a,b-MasterInputs'!$E34)-(BY20+BP21+BS21+BT21)),-BY20-BS21)*IF(BU20=0,0,1)</f>
        <v>-207920.40293293929</v>
      </c>
      <c r="BS21" s="302">
        <f>-'Tables 26a,b-MasterInputs'!$G59*'Table 12-IUL Census'!$D14*IF(BU20=0,0,1)</f>
        <v>-13419.213293064902</v>
      </c>
      <c r="BT21" s="302">
        <f>-'Tables 26a,b-MasterInputs'!$F59*BP21</f>
        <v>0</v>
      </c>
      <c r="BU21" s="85">
        <f t="shared" si="21"/>
        <v>6226958.1373053165</v>
      </c>
      <c r="BV21" s="85">
        <f>-BU21*'Tables 26a,b-MasterInputs'!$I59</f>
        <v>-10648.098414792092</v>
      </c>
      <c r="BW21" s="85">
        <f t="shared" si="22"/>
        <v>6216310.0388905248</v>
      </c>
      <c r="BX21" s="85">
        <f>-BW21*'Tables 26a,b-MasterInputs'!$J59</f>
        <v>-559467.90350014716</v>
      </c>
      <c r="BY21" s="299">
        <f t="shared" si="23"/>
        <v>5656842.1353903776</v>
      </c>
      <c r="BZ21" s="107">
        <f>IFERROR(BY21/'Table 12-IUL Census'!$G15,0)</f>
        <v>92.806604997081791</v>
      </c>
      <c r="CA21" s="88">
        <f>'Table 12-IUL Census'!$F15</f>
        <v>6028.3198972501932</v>
      </c>
      <c r="CB21" s="89">
        <f>'Tables 26a,b-MasterInputs'!$H59</f>
        <v>14</v>
      </c>
      <c r="CC21" s="175">
        <f t="shared" si="24"/>
        <v>84396.478561502707</v>
      </c>
      <c r="CD21" s="303">
        <f t="shared" ca="1" si="25"/>
        <v>0</v>
      </c>
      <c r="CE21" s="137">
        <v>4</v>
      </c>
      <c r="CF21" s="85">
        <v>0</v>
      </c>
      <c r="CG21" s="302">
        <f>MAX('Table 7-11-IULHostVEDInputs'!F34*(CO20+CF21+CH21+CI21+CJ21),0)</f>
        <v>0</v>
      </c>
      <c r="CH21" s="300">
        <f t="shared" ref="CH21:CH37" si="49">$BR21*(CO20/(CO20+DE20+DU20))</f>
        <v>-66159.367794268052</v>
      </c>
      <c r="CI21" s="300">
        <f t="shared" ref="CI21:CI37" si="50">BS21*(CO20/(CO20+DE20+DU20))</f>
        <v>-4269.9352985188125</v>
      </c>
      <c r="CJ21" s="300">
        <f t="shared" si="48"/>
        <v>0</v>
      </c>
      <c r="CK21" s="85">
        <f t="shared" si="26"/>
        <v>1981390.9930636596</v>
      </c>
      <c r="CL21" s="85">
        <f>-CK21*'Tables 26a,b-MasterInputs'!$I59</f>
        <v>-3388.178598138858</v>
      </c>
      <c r="CM21" s="85">
        <f t="shared" si="27"/>
        <v>1978002.8144655207</v>
      </c>
      <c r="CN21" s="85">
        <f>-CM21*'Tables 26a,b-MasterInputs'!$J59</f>
        <v>-178020.25330189685</v>
      </c>
      <c r="CO21" s="299">
        <f t="shared" si="28"/>
        <v>1799982.5611636238</v>
      </c>
      <c r="CP21" s="301">
        <f>IFERROR(CO21/'Table 12-IUL Census'!$G15,0)</f>
        <v>29.530658016854829</v>
      </c>
      <c r="CQ21" s="88">
        <f>'Table 12-IUL Census'!$F15*(CO20/(CO20+DE20+DU20))</f>
        <v>1918.1851691212555</v>
      </c>
      <c r="CR21" s="89">
        <f>'Tables 26a,b-MasterInputs'!$H59</f>
        <v>14</v>
      </c>
      <c r="CS21" s="270">
        <f t="shared" si="29"/>
        <v>26854.592367697576</v>
      </c>
      <c r="CU21" s="137">
        <v>4</v>
      </c>
      <c r="CV21" s="85">
        <v>0</v>
      </c>
      <c r="CW21" s="302">
        <f>MAX('Table 7-11-IULHostVEDInputs'!F34*(DE20+CV21+CX21+CY21+CZ21),0)</f>
        <v>0</v>
      </c>
      <c r="CX21" s="300">
        <f t="shared" ref="CX21:CX37" si="51">BR21*(DE20/(CO20+DE20+DU20))</f>
        <v>-69670.521100930695</v>
      </c>
      <c r="CY21" s="300">
        <f t="shared" ref="CY21:CY37" si="52">BS21*(DE20/(CO20+DE20+DU20))</f>
        <v>-4496.5456477780563</v>
      </c>
      <c r="CZ21" s="300">
        <v>0</v>
      </c>
      <c r="DA21" s="85">
        <f t="shared" si="36"/>
        <v>2086545.6789234269</v>
      </c>
      <c r="DB21" s="85">
        <f>-DA21*'Tables 26a,b-MasterInputs'!$I59</f>
        <v>-3567.9931109590598</v>
      </c>
      <c r="DC21" s="85">
        <f t="shared" si="37"/>
        <v>2082977.6858124679</v>
      </c>
      <c r="DD21" s="85">
        <f>-DC21*'Tables 26a,b-MasterInputs'!$J59</f>
        <v>-187467.9917231221</v>
      </c>
      <c r="DE21" s="270">
        <f t="shared" si="38"/>
        <v>1895509.6940893459</v>
      </c>
      <c r="DF21" s="301">
        <f>IFERROR(DE21/'Table 12-IUL Census'!$G15,0)</f>
        <v>31.097883808162756</v>
      </c>
      <c r="DG21" s="88">
        <f>'Table 12-IUL Census'!$F15*(DE20/(CO20+DE20+DU20))</f>
        <v>2019.9854496241603</v>
      </c>
      <c r="DH21" s="89">
        <f>'Tables 26a,b-MasterInputs'!$H59</f>
        <v>14</v>
      </c>
      <c r="DI21" s="270">
        <f t="shared" si="30"/>
        <v>28279.796294738244</v>
      </c>
      <c r="DK21" s="137">
        <v>4</v>
      </c>
      <c r="DL21" s="85">
        <v>0</v>
      </c>
      <c r="DM21" s="302">
        <f>MAX('Table 7-11-IULHostVEDInputs'!F34*(DU20+DL21+DN21+DO21+DP21),0)</f>
        <v>0</v>
      </c>
      <c r="DN21" s="300">
        <f t="shared" ref="DN21:DN37" si="53">BR21*(DU20/(CO20+DE20+DU20))</f>
        <v>-72090.514037740519</v>
      </c>
      <c r="DO21" s="300">
        <f t="shared" ref="DO21:DO37" si="54">BS21*(DU20/(CO20+DE20+DU20))</f>
        <v>-4652.7323467680317</v>
      </c>
      <c r="DP21" s="300">
        <v>0</v>
      </c>
      <c r="DQ21" s="85">
        <f t="shared" si="39"/>
        <v>2159021.4653182309</v>
      </c>
      <c r="DR21" s="85">
        <f>-DQ21*'Tables 26a,b-MasterInputs'!$I59</f>
        <v>-3691.9267056941749</v>
      </c>
      <c r="DS21" s="85">
        <f t="shared" si="40"/>
        <v>2155329.5386125366</v>
      </c>
      <c r="DT21" s="85">
        <f>-DS21*'Tables 26a,b-MasterInputs'!$J59</f>
        <v>-193979.65847512829</v>
      </c>
      <c r="DU21" s="270">
        <f t="shared" si="41"/>
        <v>1961349.8801374084</v>
      </c>
      <c r="DV21" s="301">
        <f>IFERROR(DU21/'Table 12-IUL Census'!$G15,0)</f>
        <v>32.178063172064206</v>
      </c>
      <c r="DW21" s="88">
        <f>'Table 12-IUL Census'!$F15*(DU20/(CO20+DE20+DU20))</f>
        <v>2090.1492785047767</v>
      </c>
      <c r="DX21" s="89">
        <f>'Tables 26a,b-MasterInputs'!$H59</f>
        <v>14</v>
      </c>
      <c r="DY21" s="270">
        <f t="shared" si="31"/>
        <v>29262.089899066872</v>
      </c>
      <c r="EJ21" s="88"/>
      <c r="EK21" s="88"/>
      <c r="EL21" s="88"/>
      <c r="EM21" s="88"/>
      <c r="EN21" s="88"/>
      <c r="EO21" s="85"/>
      <c r="EP21" s="85"/>
      <c r="EQ21" s="85"/>
    </row>
    <row r="22" spans="1:147" x14ac:dyDescent="0.25">
      <c r="A22" s="137">
        <v>5</v>
      </c>
      <c r="B22" s="85">
        <v>0</v>
      </c>
      <c r="C22" s="174">
        <f>MAX('Table 7-11-IULHostVEDInputs'!F35*(K21+B22+D22+E22+F22),0)</f>
        <v>0</v>
      </c>
      <c r="D22" s="174">
        <f>MAX(-'Tables 26a,b-MasterInputs'!$K60*('Table 12-IUL Census'!$G15*1000/(1+'Tables 26a,b-MasterInputs'!$E35)-(K21+B22+E22+F22)),-K21-E22)*IF(G21=0,0,1)</f>
        <v>-231930.82209763222</v>
      </c>
      <c r="E22" s="174">
        <f>-'Tables 26a,b-MasterInputs'!$G60*'Table 12-IUL Census'!D15*IF(G21=0,0,1)</f>
        <v>-12190.602458883723</v>
      </c>
      <c r="F22" s="174">
        <f>-'Tables 26a,b-MasterInputs'!$F60*B22</f>
        <v>0</v>
      </c>
      <c r="G22" s="85">
        <f t="shared" si="8"/>
        <v>1199485.6681927934</v>
      </c>
      <c r="H22" s="85">
        <f>-G22*'Tables 26a,b-MasterInputs'!$I60</f>
        <v>-2327.0021962940191</v>
      </c>
      <c r="I22" s="85">
        <f t="shared" si="9"/>
        <v>1197158.6659964994</v>
      </c>
      <c r="J22" s="85">
        <f>-I22*'Tables 26a,b-MasterInputs'!$J60</f>
        <v>-95772.693279719955</v>
      </c>
      <c r="K22" s="299">
        <f t="shared" si="10"/>
        <v>1101385.9727167794</v>
      </c>
      <c r="L22" s="107">
        <f>IFERROR(K22/'Table 12-IUL Census'!$G16,0)</f>
        <v>19.678857911057314</v>
      </c>
      <c r="M22" s="88">
        <f>'Table 12-IUL Census'!F16</f>
        <v>4866.7810760453949</v>
      </c>
      <c r="N22" s="89">
        <f>'Tables 26a,b-MasterInputs'!$H60</f>
        <v>12</v>
      </c>
      <c r="O22" s="175">
        <f t="shared" si="11"/>
        <v>58401.372912544743</v>
      </c>
      <c r="R22" s="137">
        <v>5</v>
      </c>
      <c r="S22" s="85">
        <v>0</v>
      </c>
      <c r="T22" s="300">
        <f>MAX('Table 7-11-IULHostVEDInputs'!F35*(AB21+S22+U22+V22+W22),0)</f>
        <v>0</v>
      </c>
      <c r="U22" s="174">
        <f>MAX(-'Tables 26a,b-MasterInputs'!$K60*('Table 12-IUL Census'!$G15*1000/(1+'Tables 26a,b-MasterInputs'!$E35)-(AB21+S22+V22+W22)),-AB21-V22)*IF(X21=0,0,1)</f>
        <v>-223502.40803229273</v>
      </c>
      <c r="V22" s="174">
        <f>-'Tables 26a,b-MasterInputs'!$G60*'Table 12-IUL Census'!$D15*IF(X21=0,0,1)</f>
        <v>-12190.602458883723</v>
      </c>
      <c r="W22" s="174">
        <f>-'Tables 26a,b-MasterInputs'!$F60*S22</f>
        <v>0</v>
      </c>
      <c r="X22" s="85">
        <f t="shared" si="12"/>
        <v>3316915.7000490213</v>
      </c>
      <c r="Y22" s="85">
        <f>-X22*'Tables 26a,b-MasterInputs'!$I60</f>
        <v>-6434.8164580951016</v>
      </c>
      <c r="Z22" s="85">
        <f t="shared" si="13"/>
        <v>3310480.883590926</v>
      </c>
      <c r="AA22" s="85">
        <f>-Z22*'Tables 26a,b-MasterInputs'!$J60</f>
        <v>-264838.47068727406</v>
      </c>
      <c r="AB22" s="299">
        <f t="shared" si="14"/>
        <v>3045642.4129036521</v>
      </c>
      <c r="AC22" s="107">
        <f>IFERROR(AB22/'Table 12-IUL Census'!G16,0)</f>
        <v>54.417584549020674</v>
      </c>
      <c r="AD22" s="88">
        <f>'Table 12-IUL Census'!F16</f>
        <v>4866.7810760453949</v>
      </c>
      <c r="AE22" s="89">
        <f>'Tables 26a,b-MasterInputs'!$H60</f>
        <v>12</v>
      </c>
      <c r="AF22" s="175">
        <f t="shared" si="15"/>
        <v>58401.372912544743</v>
      </c>
      <c r="AG22" s="303">
        <f t="shared" ca="1" si="32"/>
        <v>0</v>
      </c>
      <c r="AH22" s="137">
        <v>5</v>
      </c>
      <c r="AI22" s="85">
        <v>0</v>
      </c>
      <c r="AJ22" s="300">
        <f>MAX('Table 7-11-IULHostVEDInputs'!F35*(AR21+AI22+AK22+AL22+AM22),0)</f>
        <v>0</v>
      </c>
      <c r="AK22" s="300">
        <f t="shared" si="42"/>
        <v>-108862.4759703805</v>
      </c>
      <c r="AL22" s="300">
        <f t="shared" si="43"/>
        <v>-5937.7399059295367</v>
      </c>
      <c r="AM22" s="300">
        <f t="shared" si="44"/>
        <v>0</v>
      </c>
      <c r="AN22" s="85">
        <f t="shared" si="16"/>
        <v>1615587.3168050733</v>
      </c>
      <c r="AO22" s="85">
        <f>-AN22*'Tables 26a,b-MasterInputs'!$I60</f>
        <v>-3134.2393946018424</v>
      </c>
      <c r="AP22" s="85">
        <f t="shared" si="17"/>
        <v>1612453.0774104714</v>
      </c>
      <c r="AQ22" s="85">
        <f>-AP22*'Tables 26a,b-MasterInputs'!$J60</f>
        <v>-128996.24619283772</v>
      </c>
      <c r="AR22" s="299">
        <f t="shared" si="18"/>
        <v>1483456.8312176336</v>
      </c>
      <c r="AS22" s="301">
        <f>IFERROR(AR22/'Table 12-IUL Census'!$G16,0)</f>
        <v>26.505454874016298</v>
      </c>
      <c r="AT22" s="88">
        <f>'Table 12-IUL Census'!$F16*(AR21/($AR21+BH21))</f>
        <v>2370.4882762048128</v>
      </c>
      <c r="AU22" s="89">
        <f>'Tables 26a,b-MasterInputs'!$H60</f>
        <v>12</v>
      </c>
      <c r="AV22" s="270">
        <f t="shared" si="19"/>
        <v>28445.859314457753</v>
      </c>
      <c r="AW22" s="120"/>
      <c r="AX22" s="137">
        <v>5</v>
      </c>
      <c r="AY22" s="85">
        <v>0</v>
      </c>
      <c r="AZ22" s="300">
        <f>MAX('Table 7-11-IULHostVEDInputs'!F35*(BH21+AY22+BA22+BB22+BC22),0)</f>
        <v>0</v>
      </c>
      <c r="BA22" s="300">
        <f t="shared" si="45"/>
        <v>-114639.93206191226</v>
      </c>
      <c r="BB22" s="300">
        <f t="shared" si="46"/>
        <v>-6252.8625529541878</v>
      </c>
      <c r="BC22" s="300">
        <f t="shared" si="47"/>
        <v>0</v>
      </c>
      <c r="BD22" s="85">
        <f t="shared" si="33"/>
        <v>1701328.3832439492</v>
      </c>
      <c r="BE22" s="85">
        <f>-BD22*'Tables 26a,b-MasterInputs'!$I60</f>
        <v>-3300.5770634932614</v>
      </c>
      <c r="BF22" s="85">
        <f t="shared" si="34"/>
        <v>1698027.806180456</v>
      </c>
      <c r="BG22" s="85">
        <f>-BF22*'Tables 26a,b-MasterInputs'!$J60</f>
        <v>-135842.22449443646</v>
      </c>
      <c r="BH22" s="270">
        <f t="shared" si="35"/>
        <v>1562185.5816860194</v>
      </c>
      <c r="BI22" s="301">
        <f>IFERROR(BH22/'Table 12-IUL Census'!$G16,0)</f>
        <v>27.91212967500439</v>
      </c>
      <c r="BJ22" s="88">
        <f>'Table 12-IUL Census'!$F16*(BH21/($AR21+BH21))</f>
        <v>2496.2927998405826</v>
      </c>
      <c r="BK22" s="89">
        <f>'Tables 26a,b-MasterInputs'!$H60</f>
        <v>12</v>
      </c>
      <c r="BL22" s="270">
        <f t="shared" si="20"/>
        <v>29955.513598086989</v>
      </c>
      <c r="BO22" s="137">
        <v>5</v>
      </c>
      <c r="BP22" s="85">
        <v>0</v>
      </c>
      <c r="BQ22" s="302">
        <f>MAX('Table 7-11-IULHostVEDInputs'!F35*(BY21+BP22+BR22+BS22+BT22),0)</f>
        <v>0</v>
      </c>
      <c r="BR22" s="304">
        <f>MAX(-'Tables 26a,b-MasterInputs'!$K60*('Table 12-IUL Census'!$G15*1000/(1+'Tables 26a,b-MasterInputs'!$E35)-(BY21+BP22+BS22+BT22)),-BY21-BS22)*IF(BU21=0,0,1)</f>
        <v>-215093.04957322145</v>
      </c>
      <c r="BS22" s="304">
        <f>-'Tables 26a,b-MasterInputs'!$G60*'Table 12-IUL Census'!$D15*IF(BU21=0,0,1)</f>
        <v>-12190.602458883723</v>
      </c>
      <c r="BT22" s="304">
        <f>-'Tables 26a,b-MasterInputs'!$F60*BP22</f>
        <v>0</v>
      </c>
      <c r="BU22" s="85">
        <f t="shared" si="21"/>
        <v>5429558.4833582724</v>
      </c>
      <c r="BV22" s="85">
        <f>-BU22*'Tables 26a,b-MasterInputs'!$I60</f>
        <v>-10533.343457715049</v>
      </c>
      <c r="BW22" s="85">
        <f t="shared" si="22"/>
        <v>5419025.1399005577</v>
      </c>
      <c r="BX22" s="85">
        <f>-BW22*'Tables 26a,b-MasterInputs'!$J60</f>
        <v>-433522.01119204465</v>
      </c>
      <c r="BY22" s="299">
        <f t="shared" si="23"/>
        <v>4985503.1287085135</v>
      </c>
      <c r="BZ22" s="107">
        <f>IFERROR(BY22/'Table 12-IUL Census'!$G16,0)</f>
        <v>89.077771204023847</v>
      </c>
      <c r="CA22" s="88">
        <f>'Table 12-IUL Census'!$F16</f>
        <v>4866.7810760453949</v>
      </c>
      <c r="CB22" s="89">
        <f>'Tables 26a,b-MasterInputs'!$H60</f>
        <v>12</v>
      </c>
      <c r="CC22" s="175">
        <f t="shared" si="24"/>
        <v>58401.372912544743</v>
      </c>
      <c r="CD22" s="303">
        <f t="shared" ca="1" si="25"/>
        <v>0</v>
      </c>
      <c r="CE22" s="137">
        <v>5</v>
      </c>
      <c r="CF22" s="85">
        <v>0</v>
      </c>
      <c r="CG22" s="302">
        <f>MAX('Table 7-11-IULHostVEDInputs'!F35*(CO21+CF22+CH22+CI22+CJ22),0)</f>
        <v>0</v>
      </c>
      <c r="CH22" s="300">
        <f t="shared" si="49"/>
        <v>-68441.67275539205</v>
      </c>
      <c r="CI22" s="300">
        <f t="shared" si="50"/>
        <v>-3878.9966753340941</v>
      </c>
      <c r="CJ22" s="300">
        <f t="shared" si="48"/>
        <v>0</v>
      </c>
      <c r="CK22" s="85">
        <f t="shared" si="26"/>
        <v>1727661.8917328976</v>
      </c>
      <c r="CL22" s="85">
        <f>-CK22*'Tables 26a,b-MasterInputs'!$I60</f>
        <v>-3351.6640699618215</v>
      </c>
      <c r="CM22" s="85">
        <f t="shared" si="27"/>
        <v>1724310.2276629359</v>
      </c>
      <c r="CN22" s="85">
        <f>-CM22*'Tables 26a,b-MasterInputs'!$J60</f>
        <v>-137944.81821303486</v>
      </c>
      <c r="CO22" s="299">
        <f t="shared" si="28"/>
        <v>1586365.409449901</v>
      </c>
      <c r="CP22" s="301">
        <f>IFERROR(CO22/'Table 12-IUL Census'!$G16,0)</f>
        <v>28.344159323707412</v>
      </c>
      <c r="CQ22" s="88">
        <f>'Table 12-IUL Census'!$F16*(CO21/(CO21+DE21+DU21))</f>
        <v>1548.5885687135783</v>
      </c>
      <c r="CR22" s="89">
        <f>'Tables 26a,b-MasterInputs'!$H60</f>
        <v>12</v>
      </c>
      <c r="CS22" s="270">
        <f t="shared" si="29"/>
        <v>18583.062824562941</v>
      </c>
      <c r="CU22" s="137">
        <v>5</v>
      </c>
      <c r="CV22" s="85">
        <v>0</v>
      </c>
      <c r="CW22" s="302">
        <f>MAX('Table 7-11-IULHostVEDInputs'!F35*(DE21+CV22+CX22+CY22+CZ22),0)</f>
        <v>0</v>
      </c>
      <c r="CX22" s="300">
        <f t="shared" si="51"/>
        <v>-72073.950596315422</v>
      </c>
      <c r="CY22" s="300">
        <f t="shared" si="52"/>
        <v>-4084.8594647955251</v>
      </c>
      <c r="CZ22" s="300">
        <v>0</v>
      </c>
      <c r="DA22" s="85">
        <f t="shared" si="36"/>
        <v>1819350.884028235</v>
      </c>
      <c r="DB22" s="85">
        <f>-DA22*'Tables 26a,b-MasterInputs'!$I60</f>
        <v>-3529.5407150147762</v>
      </c>
      <c r="DC22" s="85">
        <f t="shared" si="37"/>
        <v>1815821.3433132202</v>
      </c>
      <c r="DD22" s="85">
        <f>-DC22*'Tables 26a,b-MasterInputs'!$J60</f>
        <v>-145265.70746505761</v>
      </c>
      <c r="DE22" s="270">
        <f t="shared" si="38"/>
        <v>1670555.6358481627</v>
      </c>
      <c r="DF22" s="301">
        <f>IFERROR(DE22/'Table 12-IUL Census'!$G16,0)</f>
        <v>29.848416272526546</v>
      </c>
      <c r="DG22" s="88">
        <f>'Table 12-IUL Census'!$F16*(DE21/(CO21+DE21+DU21))</f>
        <v>1630.7739349735286</v>
      </c>
      <c r="DH22" s="89">
        <f>'Tables 26a,b-MasterInputs'!$H60</f>
        <v>12</v>
      </c>
      <c r="DI22" s="270">
        <f t="shared" si="30"/>
        <v>19569.287219682345</v>
      </c>
      <c r="DK22" s="137">
        <v>5</v>
      </c>
      <c r="DL22" s="85">
        <v>0</v>
      </c>
      <c r="DM22" s="302">
        <f>MAX('Table 7-11-IULHostVEDInputs'!F35*(DU21+DL22+DN22+DO22+DP22),0)</f>
        <v>0</v>
      </c>
      <c r="DN22" s="300">
        <f t="shared" si="53"/>
        <v>-74577.42622151399</v>
      </c>
      <c r="DO22" s="300">
        <f t="shared" si="54"/>
        <v>-4226.7463187541043</v>
      </c>
      <c r="DP22" s="300">
        <v>0</v>
      </c>
      <c r="DQ22" s="85">
        <f t="shared" si="39"/>
        <v>1882545.7075971402</v>
      </c>
      <c r="DR22" s="85">
        <f>-DQ22*'Tables 26a,b-MasterInputs'!$I60</f>
        <v>-3652.1386727384524</v>
      </c>
      <c r="DS22" s="85">
        <f t="shared" si="40"/>
        <v>1878893.5689244019</v>
      </c>
      <c r="DT22" s="85">
        <f>-DS22*'Tables 26a,b-MasterInputs'!$J60</f>
        <v>-150311.48551395215</v>
      </c>
      <c r="DU22" s="270">
        <f t="shared" si="41"/>
        <v>1728582.0834104498</v>
      </c>
      <c r="DV22" s="301">
        <f>IFERROR(DU22/'Table 12-IUL Census'!$G16,0)</f>
        <v>30.885195607789882</v>
      </c>
      <c r="DW22" s="88">
        <f>'Table 12-IUL Census'!$F16*(DU21/(CO21+DE21+DU21))</f>
        <v>1687.4185723582884</v>
      </c>
      <c r="DX22" s="89">
        <f>'Tables 26a,b-MasterInputs'!$H60</f>
        <v>12</v>
      </c>
      <c r="DY22" s="270">
        <f t="shared" si="31"/>
        <v>20249.02286829946</v>
      </c>
      <c r="EJ22" s="88"/>
      <c r="EK22" s="88"/>
      <c r="EL22" s="88"/>
      <c r="EM22" s="88"/>
      <c r="EN22" s="88"/>
      <c r="EO22" s="85"/>
      <c r="EP22" s="85"/>
      <c r="EQ22" s="85"/>
    </row>
    <row r="23" spans="1:147" x14ac:dyDescent="0.25">
      <c r="A23" s="137">
        <v>6</v>
      </c>
      <c r="B23" s="85">
        <v>0</v>
      </c>
      <c r="C23" s="174">
        <f>MAX('Table 7-11-IULHostVEDInputs'!F36*(K22+B23+D23+E23+F23),0)</f>
        <v>0</v>
      </c>
      <c r="D23" s="174">
        <f>MAX(-'Tables 26a,b-MasterInputs'!$K61*('Table 12-IUL Census'!$G16*1000/(1+'Tables 26a,b-MasterInputs'!$E36)-(K22+B23+E23+F23)),-K22-E23)*IF(G22=0,0,1)</f>
        <v>-220251.92270554462</v>
      </c>
      <c r="E23" s="174">
        <f>-'Tables 26a,b-MasterInputs'!$G61*'Table 12-IUL Census'!D16*IF(G22=0,0,1)</f>
        <v>-11193.596474904409</v>
      </c>
      <c r="F23" s="174">
        <f>-'Tables 26a,b-MasterInputs'!$F61*B23</f>
        <v>0</v>
      </c>
      <c r="G23" s="85">
        <f t="shared" si="8"/>
        <v>869940.45353633037</v>
      </c>
      <c r="H23" s="85">
        <f>-G23*'Tables 26a,b-MasterInputs'!$I61</f>
        <v>-1931.2678068506536</v>
      </c>
      <c r="I23" s="85">
        <f t="shared" si="9"/>
        <v>868009.18572947977</v>
      </c>
      <c r="J23" s="85">
        <f>-I23*'Tables 26a,b-MasterInputs'!$J61</f>
        <v>-60760.643001063589</v>
      </c>
      <c r="K23" s="299">
        <f t="shared" si="10"/>
        <v>807248.54272841616</v>
      </c>
      <c r="L23" s="107">
        <f>IFERROR(K23/'Table 12-IUL Census'!$G17,0)</f>
        <v>15.543537869829448</v>
      </c>
      <c r="M23" s="88">
        <f>'Table 12-IUL Census'!F17</f>
        <v>3909.0613417555433</v>
      </c>
      <c r="N23" s="89">
        <f>'Tables 26a,b-MasterInputs'!$H61</f>
        <v>10</v>
      </c>
      <c r="O23" s="175">
        <f t="shared" si="11"/>
        <v>39090.613417555433</v>
      </c>
      <c r="R23" s="137">
        <v>6</v>
      </c>
      <c r="S23" s="85">
        <v>0</v>
      </c>
      <c r="T23" s="300">
        <f>MAX('Table 7-11-IULHostVEDInputs'!F36*(AB22+S23+U23+V23+W23),0)</f>
        <v>0</v>
      </c>
      <c r="U23" s="174">
        <f>MAX(-'Tables 26a,b-MasterInputs'!$K61*('Table 12-IUL Census'!$G16*1000/(1+'Tables 26a,b-MasterInputs'!$E36)-(AB22+S23+V23+W23)),-AB22-V23)*IF(X22=0,0,1)</f>
        <v>-212249.59650850829</v>
      </c>
      <c r="V23" s="174">
        <f>-'Tables 26a,b-MasterInputs'!$G61*'Table 12-IUL Census'!$D16*IF(X22=0,0,1)</f>
        <v>-11193.596474904409</v>
      </c>
      <c r="W23" s="174">
        <f>-'Tables 26a,b-MasterInputs'!$F61*S23</f>
        <v>0</v>
      </c>
      <c r="X23" s="85">
        <f t="shared" si="12"/>
        <v>2822199.2199202394</v>
      </c>
      <c r="Y23" s="85">
        <f>-X23*'Tables 26a,b-MasterInputs'!$I61</f>
        <v>-6265.2822682229316</v>
      </c>
      <c r="Z23" s="85">
        <f t="shared" si="13"/>
        <v>2815933.9376520165</v>
      </c>
      <c r="AA23" s="85">
        <f>-Z23*'Tables 26a,b-MasterInputs'!$J61</f>
        <v>-197115.37563564116</v>
      </c>
      <c r="AB23" s="299">
        <f t="shared" si="14"/>
        <v>2618818.5620163754</v>
      </c>
      <c r="AC23" s="107">
        <f>IFERROR(AB23/'Table 12-IUL Census'!G17,0)</f>
        <v>50.425244937987472</v>
      </c>
      <c r="AD23" s="88">
        <f>'Table 12-IUL Census'!F17</f>
        <v>3909.0613417555433</v>
      </c>
      <c r="AE23" s="89">
        <f>'Tables 26a,b-MasterInputs'!$H61</f>
        <v>10</v>
      </c>
      <c r="AF23" s="175">
        <f t="shared" si="15"/>
        <v>39090.613417555433</v>
      </c>
      <c r="AG23" s="303">
        <f t="shared" ca="1" si="32"/>
        <v>0</v>
      </c>
      <c r="AH23" s="137">
        <v>6</v>
      </c>
      <c r="AI23" s="85">
        <v>0</v>
      </c>
      <c r="AJ23" s="300">
        <f>MAX('Table 7-11-IULHostVEDInputs'!F36*(AR22+AI23+AK23+AL23+AM23),0)</f>
        <v>0</v>
      </c>
      <c r="AK23" s="300">
        <f t="shared" si="42"/>
        <v>-103381.51075442536</v>
      </c>
      <c r="AL23" s="300">
        <f t="shared" si="43"/>
        <v>-5452.1230352710691</v>
      </c>
      <c r="AM23" s="300">
        <f t="shared" si="44"/>
        <v>0</v>
      </c>
      <c r="AN23" s="85">
        <f t="shared" si="16"/>
        <v>1374623.1974279371</v>
      </c>
      <c r="AO23" s="85">
        <f>-AN23*'Tables 26a,b-MasterInputs'!$I61</f>
        <v>-3051.6634982900205</v>
      </c>
      <c r="AP23" s="85">
        <f t="shared" si="17"/>
        <v>1371571.5339296469</v>
      </c>
      <c r="AQ23" s="85">
        <f>-AP23*'Tables 26a,b-MasterInputs'!$J61</f>
        <v>-96010.007375075293</v>
      </c>
      <c r="AR23" s="299">
        <f t="shared" si="18"/>
        <v>1275561.5265545717</v>
      </c>
      <c r="AS23" s="301">
        <f>IFERROR(AR23/'Table 12-IUL Census'!$G17,0)</f>
        <v>24.560885333141798</v>
      </c>
      <c r="AT23" s="88">
        <f>'Table 12-IUL Census'!$F17*(AR22/($AR22+BH22))</f>
        <v>1904.0067627464689</v>
      </c>
      <c r="AU23" s="89">
        <f>'Tables 26a,b-MasterInputs'!$H61</f>
        <v>10</v>
      </c>
      <c r="AV23" s="270">
        <f t="shared" si="19"/>
        <v>19040.06762746469</v>
      </c>
      <c r="AW23" s="120"/>
      <c r="AX23" s="137">
        <v>6</v>
      </c>
      <c r="AY23" s="85">
        <v>0</v>
      </c>
      <c r="AZ23" s="300">
        <f>MAX('Table 7-11-IULHostVEDInputs'!F36*(BH22+AY23+BA23+BB23+BC23),0)</f>
        <v>0</v>
      </c>
      <c r="BA23" s="300">
        <f t="shared" si="45"/>
        <v>-108868.08575408293</v>
      </c>
      <c r="BB23" s="300">
        <f t="shared" si="46"/>
        <v>-5741.4734396333397</v>
      </c>
      <c r="BC23" s="300">
        <f t="shared" si="47"/>
        <v>0</v>
      </c>
      <c r="BD23" s="85">
        <f t="shared" si="33"/>
        <v>1447576.022492303</v>
      </c>
      <c r="BE23" s="85">
        <f>-BD23*'Tables 26a,b-MasterInputs'!$I61</f>
        <v>-3213.618769932913</v>
      </c>
      <c r="BF23" s="85">
        <f t="shared" si="34"/>
        <v>1444362.40372237</v>
      </c>
      <c r="BG23" s="85">
        <f>-BF23*'Tables 26a,b-MasterInputs'!$J61</f>
        <v>-101105.36826056591</v>
      </c>
      <c r="BH23" s="270">
        <f t="shared" si="35"/>
        <v>1343257.0354618041</v>
      </c>
      <c r="BI23" s="301">
        <f>IFERROR(BH23/'Table 12-IUL Census'!$G17,0)</f>
        <v>25.864359604845681</v>
      </c>
      <c r="BJ23" s="88">
        <f>'Table 12-IUL Census'!$F17*(BH22/($AR22+BH22))</f>
        <v>2005.0545790090744</v>
      </c>
      <c r="BK23" s="89">
        <f>'Tables 26a,b-MasterInputs'!$H61</f>
        <v>10</v>
      </c>
      <c r="BL23" s="175">
        <f t="shared" si="20"/>
        <v>20050.545790090742</v>
      </c>
      <c r="BO23" s="137">
        <v>6</v>
      </c>
      <c r="BP23" s="85">
        <v>0</v>
      </c>
      <c r="BQ23" s="302">
        <f>MAX('Table 7-11-IULHostVEDInputs'!F36*(BY22+BP23+BR23+BS23+BT23),0)</f>
        <v>0</v>
      </c>
      <c r="BR23" s="304">
        <f>MAX(-'Tables 26a,b-MasterInputs'!$K61*('Table 12-IUL Census'!$G16*1000/(1+'Tables 26a,b-MasterInputs'!$E36)-(BY22+BP23+BS23+BT23)),-BY22-BS23)*IF(BU22=0,0,1)</f>
        <v>-204265.36258554138</v>
      </c>
      <c r="BS23" s="304">
        <f>-'Tables 26a,b-MasterInputs'!$G61*'Table 12-IUL Census'!$D16*IF(BU22=0,0,1)</f>
        <v>-11193.596474904409</v>
      </c>
      <c r="BT23" s="304">
        <f>-'Tables 26a,b-MasterInputs'!$F61*BP23</f>
        <v>0</v>
      </c>
      <c r="BU23" s="85">
        <f t="shared" si="21"/>
        <v>4770044.169648068</v>
      </c>
      <c r="BV23" s="85">
        <f>-BU23*'Tables 26a,b-MasterInputs'!$I61</f>
        <v>-10589.498056618711</v>
      </c>
      <c r="BW23" s="85">
        <f t="shared" si="22"/>
        <v>4759454.6715914495</v>
      </c>
      <c r="BX23" s="85">
        <f>-BW23*'Tables 26a,b-MasterInputs'!$J61</f>
        <v>-333161.82701140147</v>
      </c>
      <c r="BY23" s="299">
        <f t="shared" si="23"/>
        <v>4426292.8445800478</v>
      </c>
      <c r="BZ23" s="107">
        <f>IFERROR(BY23/'Table 12-IUL Census'!$G17,0)</f>
        <v>85.22808876204023</v>
      </c>
      <c r="CA23" s="88">
        <f>'Table 12-IUL Census'!$F17</f>
        <v>3909.0613417555433</v>
      </c>
      <c r="CB23" s="89">
        <f>'Tables 26a,b-MasterInputs'!$H61</f>
        <v>10</v>
      </c>
      <c r="CC23" s="175">
        <f t="shared" si="24"/>
        <v>39090.613417555433</v>
      </c>
      <c r="CD23" s="303">
        <f t="shared" ca="1" si="25"/>
        <v>0</v>
      </c>
      <c r="CE23" s="137">
        <v>6</v>
      </c>
      <c r="CF23" s="85">
        <v>0</v>
      </c>
      <c r="CG23" s="302">
        <f>MAX('Table 7-11-IULHostVEDInputs'!F36*(CO22+CF23+CH23+CI23+CJ23),0)</f>
        <v>0</v>
      </c>
      <c r="CH23" s="300">
        <f t="shared" si="49"/>
        <v>-64996.349854540516</v>
      </c>
      <c r="CI23" s="300">
        <f t="shared" si="50"/>
        <v>-3561.7537080412299</v>
      </c>
      <c r="CJ23" s="300">
        <f t="shared" si="48"/>
        <v>0</v>
      </c>
      <c r="CK23" s="85">
        <f t="shared" si="26"/>
        <v>1517807.3058873191</v>
      </c>
      <c r="CL23" s="85">
        <f>-CK23*'Tables 26a,b-MasterInputs'!$I61</f>
        <v>-3369.5322190698489</v>
      </c>
      <c r="CM23" s="85">
        <f t="shared" si="27"/>
        <v>1514437.7736682494</v>
      </c>
      <c r="CN23" s="85">
        <f>-CM23*'Tables 26a,b-MasterInputs'!$J61</f>
        <v>-106010.64415677746</v>
      </c>
      <c r="CO23" s="299">
        <f t="shared" si="28"/>
        <v>1408427.1295114718</v>
      </c>
      <c r="CP23" s="301">
        <f>IFERROR(CO23/'Table 12-IUL Census'!$G17,0)</f>
        <v>27.119207116143269</v>
      </c>
      <c r="CQ23" s="88">
        <f>'Table 12-IUL Census'!$F17*(CO22/(CO22+DE22+DU22))</f>
        <v>1243.8463151832827</v>
      </c>
      <c r="CR23" s="89">
        <f>'Tables 26a,b-MasterInputs'!$H61</f>
        <v>10</v>
      </c>
      <c r="CS23" s="270">
        <f t="shared" si="29"/>
        <v>12438.463151832828</v>
      </c>
      <c r="CU23" s="137">
        <v>6</v>
      </c>
      <c r="CV23" s="85">
        <v>0</v>
      </c>
      <c r="CW23" s="302">
        <f>MAX('Table 7-11-IULHostVEDInputs'!F36*(DE22+CV23+CX23+CY23+CZ23),0)</f>
        <v>0</v>
      </c>
      <c r="CX23" s="300">
        <f t="shared" si="51"/>
        <v>-68445.780469150239</v>
      </c>
      <c r="CY23" s="300">
        <f t="shared" si="52"/>
        <v>-3750.7800504391153</v>
      </c>
      <c r="CZ23" s="300">
        <v>0</v>
      </c>
      <c r="DA23" s="85">
        <f t="shared" si="36"/>
        <v>1598359.0753285734</v>
      </c>
      <c r="DB23" s="85">
        <f>-DA23*'Tables 26a,b-MasterInputs'!$I61</f>
        <v>-3548.3571472294329</v>
      </c>
      <c r="DC23" s="85">
        <f t="shared" si="37"/>
        <v>1594810.718181344</v>
      </c>
      <c r="DD23" s="85">
        <f>-DC23*'Tables 26a,b-MasterInputs'!$J61</f>
        <v>-111636.75027269409</v>
      </c>
      <c r="DE23" s="270">
        <f t="shared" si="38"/>
        <v>1483173.9679086499</v>
      </c>
      <c r="DF23" s="301">
        <f>IFERROR(DE23/'Table 12-IUL Census'!$G17,0)</f>
        <v>28.558454450489261</v>
      </c>
      <c r="DG23" s="88">
        <f>'Table 12-IUL Census'!$F17*(DE22/(CO22+DE22+DU22))</f>
        <v>1309.8586615544996</v>
      </c>
      <c r="DH23" s="89">
        <f>'Tables 26a,b-MasterInputs'!$H61</f>
        <v>10</v>
      </c>
      <c r="DI23" s="175">
        <f t="shared" si="30"/>
        <v>13098.586615544995</v>
      </c>
      <c r="DK23" s="137">
        <v>6</v>
      </c>
      <c r="DL23" s="85">
        <v>0</v>
      </c>
      <c r="DM23" s="302">
        <f>MAX('Table 7-11-IULHostVEDInputs'!F36*(DU22+DL23+DN23+DO23+DP23),0)</f>
        <v>0</v>
      </c>
      <c r="DN23" s="300">
        <f t="shared" si="53"/>
        <v>-70823.23226185063</v>
      </c>
      <c r="DO23" s="300">
        <f t="shared" si="54"/>
        <v>-3881.0627164240632</v>
      </c>
      <c r="DP23" s="300">
        <v>0</v>
      </c>
      <c r="DQ23" s="85">
        <f t="shared" si="39"/>
        <v>1653877.7884321751</v>
      </c>
      <c r="DR23" s="85">
        <f>-DQ23*'Tables 26a,b-MasterInputs'!$I61</f>
        <v>-3671.6086903194291</v>
      </c>
      <c r="DS23" s="85">
        <f t="shared" si="40"/>
        <v>1650206.1797418557</v>
      </c>
      <c r="DT23" s="85">
        <f>-DS23*'Tables 26a,b-MasterInputs'!$J61</f>
        <v>-115514.43258192991</v>
      </c>
      <c r="DU23" s="270">
        <f t="shared" si="41"/>
        <v>1534691.7471599258</v>
      </c>
      <c r="DV23" s="301">
        <f>IFERROR(DU23/'Table 12-IUL Census'!$G17,0)</f>
        <v>29.550427195407703</v>
      </c>
      <c r="DW23" s="88">
        <f>'Table 12-IUL Census'!$F17*(DU22/(CO22+DE22+DU22))</f>
        <v>1355.3563650177609</v>
      </c>
      <c r="DX23" s="89">
        <f>'Tables 26a,b-MasterInputs'!$H61</f>
        <v>10</v>
      </c>
      <c r="DY23" s="175">
        <f t="shared" si="31"/>
        <v>13553.56365017761</v>
      </c>
      <c r="EJ23" s="88"/>
      <c r="EK23" s="88"/>
      <c r="EL23" s="88"/>
      <c r="EM23" s="88"/>
      <c r="EN23" s="88"/>
      <c r="EO23" s="85"/>
      <c r="EP23" s="85"/>
      <c r="EQ23" s="85"/>
    </row>
    <row r="24" spans="1:147" x14ac:dyDescent="0.25">
      <c r="A24" s="137">
        <v>7</v>
      </c>
      <c r="B24" s="85">
        <v>0</v>
      </c>
      <c r="C24" s="174">
        <f>MAX('Table 7-11-IULHostVEDInputs'!F37*(K23+B24+D24+E24+F24),0)</f>
        <v>0</v>
      </c>
      <c r="D24" s="174">
        <f>MAX(-'Tables 26a,b-MasterInputs'!$K62*('Table 12-IUL Census'!$G17*1000/(1+'Tables 26a,b-MasterInputs'!$E37)-(K23+B24+E24+F24)),-K23-E24)*IF(G23=0,0,1)</f>
        <v>-207934.60581412772</v>
      </c>
      <c r="E24" s="174">
        <f>-'Tables 26a,b-MasterInputs'!$G62*'Table 12-IUL Census'!D17*IF(G23=0,0,1)</f>
        <v>-10386.934422379014</v>
      </c>
      <c r="F24" s="174">
        <f>-'Tables 26a,b-MasterInputs'!$F62*B24</f>
        <v>0</v>
      </c>
      <c r="G24" s="85">
        <f t="shared" si="8"/>
        <v>588927.00249190943</v>
      </c>
      <c r="H24" s="85">
        <f>-G24*'Tables 26a,b-MasterInputs'!$I62</f>
        <v>-1489.9853163045309</v>
      </c>
      <c r="I24" s="85">
        <f t="shared" si="9"/>
        <v>587437.01717560494</v>
      </c>
      <c r="J24" s="85">
        <f>-I24*'Tables 26a,b-MasterInputs'!$J62</f>
        <v>-35246.221030536297</v>
      </c>
      <c r="K24" s="299">
        <f t="shared" si="10"/>
        <v>552190.7961450686</v>
      </c>
      <c r="L24" s="107">
        <f>IFERROR(K24/'Table 12-IUL Census'!$G18,0)</f>
        <v>11.339765488902014</v>
      </c>
      <c r="M24" s="88">
        <f>'Table 12-IUL Census'!F18</f>
        <v>3108.1966434871179</v>
      </c>
      <c r="N24" s="89">
        <f>'Tables 26a,b-MasterInputs'!$H62</f>
        <v>8</v>
      </c>
      <c r="O24" s="175">
        <f t="shared" si="11"/>
        <v>24865.573147896943</v>
      </c>
      <c r="R24" s="137">
        <v>7</v>
      </c>
      <c r="S24" s="85">
        <v>0</v>
      </c>
      <c r="T24" s="300">
        <f>MAX('Table 7-11-IULHostVEDInputs'!F37*(AB23+S24+U24+V24+W24),0)</f>
        <v>0</v>
      </c>
      <c r="U24" s="174">
        <f>MAX(-'Tables 26a,b-MasterInputs'!$K62*('Table 12-IUL Census'!$G17*1000/(1+'Tables 26a,b-MasterInputs'!$E37)-(AB23+S24+V24+W24)),-AB23-V24)*IF(X23=0,0,1)</f>
        <v>-200381.37331290773</v>
      </c>
      <c r="V24" s="174">
        <f>-'Tables 26a,b-MasterInputs'!$G62*'Table 12-IUL Census'!$D17*IF(X23=0,0,1)</f>
        <v>-10386.934422379014</v>
      </c>
      <c r="W24" s="174">
        <f>-'Tables 26a,b-MasterInputs'!$F62*S24</f>
        <v>0</v>
      </c>
      <c r="X24" s="85">
        <f t="shared" si="12"/>
        <v>2408050.2542810887</v>
      </c>
      <c r="Y24" s="85">
        <f>-X24*'Tables 26a,b-MasterInputs'!$I62</f>
        <v>-6092.3671433311547</v>
      </c>
      <c r="Z24" s="85">
        <f t="shared" si="13"/>
        <v>2401957.8871377576</v>
      </c>
      <c r="AA24" s="85">
        <f>-Z24*'Tables 26a,b-MasterInputs'!$J62</f>
        <v>-144117.47322826544</v>
      </c>
      <c r="AB24" s="299">
        <f t="shared" si="14"/>
        <v>2257840.4139094921</v>
      </c>
      <c r="AC24" s="107">
        <f>IFERROR(AB24/'Table 12-IUL Census'!G18,0)</f>
        <v>46.366909741778301</v>
      </c>
      <c r="AD24" s="88">
        <f>'Table 12-IUL Census'!F18</f>
        <v>3108.1966434871179</v>
      </c>
      <c r="AE24" s="89">
        <f>'Tables 26a,b-MasterInputs'!$H62</f>
        <v>8</v>
      </c>
      <c r="AF24" s="175">
        <f t="shared" si="15"/>
        <v>24865.573147896943</v>
      </c>
      <c r="AG24" s="303">
        <f t="shared" ca="1" si="32"/>
        <v>0</v>
      </c>
      <c r="AH24" s="137">
        <v>7</v>
      </c>
      <c r="AI24" s="85">
        <v>0</v>
      </c>
      <c r="AJ24" s="300">
        <f>MAX('Table 7-11-IULHostVEDInputs'!F37*(AR23+AI24+AK24+AL24+AM24),0)</f>
        <v>0</v>
      </c>
      <c r="AK24" s="300">
        <f t="shared" si="42"/>
        <v>-97600.793786689144</v>
      </c>
      <c r="AL24" s="300">
        <f t="shared" si="43"/>
        <v>-5059.2179695834748</v>
      </c>
      <c r="AM24" s="300">
        <f t="shared" si="44"/>
        <v>0</v>
      </c>
      <c r="AN24" s="85">
        <f t="shared" si="16"/>
        <v>1172901.5147982992</v>
      </c>
      <c r="AO24" s="85">
        <f>-AN24*'Tables 26a,b-MasterInputs'!$I62</f>
        <v>-2967.4408324396973</v>
      </c>
      <c r="AP24" s="85">
        <f t="shared" si="17"/>
        <v>1169934.0739658594</v>
      </c>
      <c r="AQ24" s="85">
        <f>-AP24*'Tables 26a,b-MasterInputs'!$J62</f>
        <v>-70196.044437951554</v>
      </c>
      <c r="AR24" s="299">
        <f t="shared" si="18"/>
        <v>1099738.0295279077</v>
      </c>
      <c r="AS24" s="301">
        <f>IFERROR(AR24/'Table 12-IUL Census'!$G18,0)</f>
        <v>22.584170980635864</v>
      </c>
      <c r="AT24" s="88">
        <f>'Table 12-IUL Census'!$F18*(AR23/($AR23+BH23))</f>
        <v>1513.9254444361281</v>
      </c>
      <c r="AU24" s="89">
        <f>'Tables 26a,b-MasterInputs'!$H62</f>
        <v>8</v>
      </c>
      <c r="AV24" s="270">
        <f t="shared" si="19"/>
        <v>12111.403555489025</v>
      </c>
      <c r="AW24" s="120"/>
      <c r="AX24" s="137">
        <v>7</v>
      </c>
      <c r="AY24" s="85">
        <v>0</v>
      </c>
      <c r="AZ24" s="300">
        <f>MAX('Table 7-11-IULHostVEDInputs'!F37*(BH23+AY24+BA24+BB24+BC24),0)</f>
        <v>0</v>
      </c>
      <c r="BA24" s="300">
        <f t="shared" si="45"/>
        <v>-102780.57952621859</v>
      </c>
      <c r="BB24" s="300">
        <f t="shared" si="46"/>
        <v>-5327.7164527955401</v>
      </c>
      <c r="BC24" s="300">
        <f t="shared" si="47"/>
        <v>0</v>
      </c>
      <c r="BD24" s="85">
        <f t="shared" si="33"/>
        <v>1235148.73948279</v>
      </c>
      <c r="BE24" s="85">
        <f>-BD24*'Tables 26a,b-MasterInputs'!$I62</f>
        <v>-3124.9263108914588</v>
      </c>
      <c r="BF24" s="85">
        <f t="shared" si="34"/>
        <v>1232023.8131718985</v>
      </c>
      <c r="BG24" s="85">
        <f>-BF24*'Tables 26a,b-MasterInputs'!$J62</f>
        <v>-73921.428790313905</v>
      </c>
      <c r="BH24" s="270">
        <f t="shared" si="35"/>
        <v>1158102.3843815846</v>
      </c>
      <c r="BI24" s="301">
        <f>IFERROR(BH24/'Table 12-IUL Census'!$G18,0)</f>
        <v>23.782738761142443</v>
      </c>
      <c r="BJ24" s="88">
        <f>'Table 12-IUL Census'!$F18*(BH23/($AR23+BH23))</f>
        <v>1594.2711990509897</v>
      </c>
      <c r="BK24" s="89">
        <f>'Tables 26a,b-MasterInputs'!$H62</f>
        <v>8</v>
      </c>
      <c r="BL24" s="175">
        <f t="shared" si="20"/>
        <v>12754.169592407918</v>
      </c>
      <c r="BO24" s="137">
        <v>7</v>
      </c>
      <c r="BP24" s="85">
        <v>0</v>
      </c>
      <c r="BQ24" s="302">
        <f>MAX('Table 7-11-IULHostVEDInputs'!F37*(BY23+BP24+BR24+BS24+BT24),0)</f>
        <v>0</v>
      </c>
      <c r="BR24" s="304">
        <f>MAX(-'Tables 26a,b-MasterInputs'!$K62*('Table 12-IUL Census'!$G17*1000/(1+'Tables 26a,b-MasterInputs'!$E37)-(BY23+BP24+BS24+BT24)),-BY23-BS24)*IF(BU23=0,0,1)</f>
        <v>-192845.21774021545</v>
      </c>
      <c r="BS24" s="304">
        <f>-'Tables 26a,b-MasterInputs'!$G62*'Table 12-IUL Census'!$D17*IF(BU23=0,0,1)</f>
        <v>-10386.934422379014</v>
      </c>
      <c r="BT24" s="304">
        <f>-'Tables 26a,b-MasterInputs'!$F62*BP24</f>
        <v>0</v>
      </c>
      <c r="BU24" s="85">
        <f t="shared" si="21"/>
        <v>4223060.692417453</v>
      </c>
      <c r="BV24" s="85">
        <f>-BU24*'Tables 26a,b-MasterInputs'!$I62</f>
        <v>-10684.343551816157</v>
      </c>
      <c r="BW24" s="85">
        <f t="shared" si="22"/>
        <v>4212376.3488656366</v>
      </c>
      <c r="BX24" s="85">
        <f>-BW24*'Tables 26a,b-MasterInputs'!$J62</f>
        <v>-252742.5809319382</v>
      </c>
      <c r="BY24" s="299">
        <f t="shared" si="23"/>
        <v>3959633.7679336984</v>
      </c>
      <c r="BZ24" s="107">
        <f>IFERROR(BY24/'Table 12-IUL Census'!$G18,0)</f>
        <v>81.314861934984819</v>
      </c>
      <c r="CA24" s="88">
        <f>'Table 12-IUL Census'!$F18</f>
        <v>3108.1966434871179</v>
      </c>
      <c r="CB24" s="89">
        <f>'Tables 26a,b-MasterInputs'!$H62</f>
        <v>8</v>
      </c>
      <c r="CC24" s="175">
        <f t="shared" si="24"/>
        <v>24865.573147896943</v>
      </c>
      <c r="CD24" s="303">
        <f t="shared" ca="1" si="25"/>
        <v>0</v>
      </c>
      <c r="CE24" s="137">
        <v>7</v>
      </c>
      <c r="CF24" s="85">
        <v>0</v>
      </c>
      <c r="CG24" s="302">
        <f>MAX('Table 7-11-IULHostVEDInputs'!F37*(CO23+CF24+CH24+CI24+CJ24),0)</f>
        <v>0</v>
      </c>
      <c r="CH24" s="300">
        <f t="shared" si="49"/>
        <v>-61362.509440478687</v>
      </c>
      <c r="CI24" s="300">
        <f t="shared" si="50"/>
        <v>-3305.0773517727225</v>
      </c>
      <c r="CJ24" s="300">
        <f t="shared" si="48"/>
        <v>0</v>
      </c>
      <c r="CK24" s="85">
        <f t="shared" si="26"/>
        <v>1343759.5427192205</v>
      </c>
      <c r="CL24" s="85">
        <f>-CK24*'Tables 26a,b-MasterInputs'!$I62</f>
        <v>-3399.7116430796282</v>
      </c>
      <c r="CM24" s="85">
        <f t="shared" si="27"/>
        <v>1340359.831076141</v>
      </c>
      <c r="CN24" s="85">
        <f>-CM24*'Tables 26a,b-MasterInputs'!$J62</f>
        <v>-80421.58986456845</v>
      </c>
      <c r="CO24" s="299">
        <f t="shared" si="28"/>
        <v>1259938.2412115724</v>
      </c>
      <c r="CP24" s="301">
        <f>IFERROR(CO24/'Table 12-IUL Census'!$G18,0)</f>
        <v>25.874035361656734</v>
      </c>
      <c r="CQ24" s="88">
        <f>'Table 12-IUL Census'!$F18*(CO23/(CO23+DE23+DU23))</f>
        <v>989.01465182182108</v>
      </c>
      <c r="CR24" s="89">
        <f>'Tables 26a,b-MasterInputs'!$H62</f>
        <v>8</v>
      </c>
      <c r="CS24" s="270">
        <f t="shared" si="29"/>
        <v>7912.1172145745686</v>
      </c>
      <c r="CU24" s="137">
        <v>7</v>
      </c>
      <c r="CV24" s="85">
        <v>0</v>
      </c>
      <c r="CW24" s="302">
        <f>MAX('Table 7-11-IULHostVEDInputs'!F37*(DE23+CV24+CX24+CY24+CZ24),0)</f>
        <v>0</v>
      </c>
      <c r="CX24" s="300">
        <f t="shared" si="51"/>
        <v>-64619.087988765896</v>
      </c>
      <c r="CY24" s="300">
        <f t="shared" si="52"/>
        <v>-3480.4815864162424</v>
      </c>
      <c r="CZ24" s="300">
        <v>0</v>
      </c>
      <c r="DA24" s="85">
        <f t="shared" si="36"/>
        <v>1415074.3983334678</v>
      </c>
      <c r="DB24" s="85">
        <f>-DA24*'Tables 26a,b-MasterInputs'!$I62</f>
        <v>-3580.1382277836738</v>
      </c>
      <c r="DC24" s="85">
        <f t="shared" si="37"/>
        <v>1411494.2601056842</v>
      </c>
      <c r="DD24" s="85">
        <f>-DC24*'Tables 26a,b-MasterInputs'!$J62</f>
        <v>-84689.655606341053</v>
      </c>
      <c r="DE24" s="270">
        <f t="shared" si="38"/>
        <v>1326804.6044993431</v>
      </c>
      <c r="DF24" s="301">
        <f>IFERROR(DE24/'Table 12-IUL Census'!$G18,0)</f>
        <v>27.247200007051951</v>
      </c>
      <c r="DG24" s="88">
        <f>'Table 12-IUL Census'!$F18*(DE23/(CO23+DE23+DU23))</f>
        <v>1041.5027904007825</v>
      </c>
      <c r="DH24" s="89">
        <f>'Tables 26a,b-MasterInputs'!$H62</f>
        <v>8</v>
      </c>
      <c r="DI24" s="175">
        <f t="shared" si="30"/>
        <v>8332.0223232062599</v>
      </c>
      <c r="DK24" s="137">
        <v>7</v>
      </c>
      <c r="DL24" s="85">
        <v>0</v>
      </c>
      <c r="DM24" s="302">
        <f>MAX('Table 7-11-IULHostVEDInputs'!F37*(DU23+DL24+DN24+DO24+DP24),0)</f>
        <v>0</v>
      </c>
      <c r="DN24" s="300">
        <f t="shared" si="53"/>
        <v>-66863.620310970902</v>
      </c>
      <c r="DO24" s="300">
        <f t="shared" si="54"/>
        <v>-3601.3754841900509</v>
      </c>
      <c r="DP24" s="300">
        <v>0</v>
      </c>
      <c r="DQ24" s="85">
        <f t="shared" si="39"/>
        <v>1464226.7513647648</v>
      </c>
      <c r="DR24" s="85">
        <f>-DQ24*'Tables 26a,b-MasterInputs'!$I62</f>
        <v>-3704.4936809528549</v>
      </c>
      <c r="DS24" s="85">
        <f t="shared" si="40"/>
        <v>1460522.2576838119</v>
      </c>
      <c r="DT24" s="85">
        <f>-DS24*'Tables 26a,b-MasterInputs'!$J62</f>
        <v>-87631.335461028706</v>
      </c>
      <c r="DU24" s="270">
        <f t="shared" si="41"/>
        <v>1372890.9222227833</v>
      </c>
      <c r="DV24" s="301">
        <f>IFERROR(DU24/'Table 12-IUL Census'!$G18,0)</f>
        <v>28.193626566276137</v>
      </c>
      <c r="DW24" s="88">
        <f>'Table 12-IUL Census'!$F18*(DU23/(CO23+DE23+DU23))</f>
        <v>1077.6792012645149</v>
      </c>
      <c r="DX24" s="89">
        <f>'Tables 26a,b-MasterInputs'!$H62</f>
        <v>8</v>
      </c>
      <c r="DY24" s="175">
        <f t="shared" si="31"/>
        <v>8621.4336101161189</v>
      </c>
      <c r="EJ24" s="88"/>
      <c r="EK24" s="88"/>
      <c r="EL24" s="88"/>
      <c r="EM24" s="88"/>
      <c r="EN24" s="88"/>
      <c r="EO24" s="85"/>
      <c r="EP24" s="85"/>
      <c r="EQ24" s="85"/>
    </row>
    <row r="25" spans="1:147" x14ac:dyDescent="0.25">
      <c r="A25" s="137">
        <v>8</v>
      </c>
      <c r="B25" s="85">
        <v>0</v>
      </c>
      <c r="C25" s="174">
        <f>MAX('Table 7-11-IULHostVEDInputs'!F38*(K24+B25+D25+E25+F25),0)</f>
        <v>0</v>
      </c>
      <c r="D25" s="174">
        <f>MAX(-'Tables 26a,b-MasterInputs'!$K63*('Table 12-IUL Census'!$G18*1000/(1+'Tables 26a,b-MasterInputs'!$E38)-(K24+B25+E25+F25)),-K24-E25)*IF(G24=0,0,1)</f>
        <v>-191657.36166434604</v>
      </c>
      <c r="E25" s="174">
        <f>-'Tables 26a,b-MasterInputs'!$G63*'Table 12-IUL Census'!D18*IF(G24=0,0,1)</f>
        <v>-9739.0161495929697</v>
      </c>
      <c r="F25" s="174">
        <f>-'Tables 26a,b-MasterInputs'!$F63*B25</f>
        <v>0</v>
      </c>
      <c r="G25" s="85">
        <f t="shared" si="8"/>
        <v>350794.41833112959</v>
      </c>
      <c r="H25" s="85">
        <f>-G25*'Tables 26a,b-MasterInputs'!$I63</f>
        <v>-992.74820387709678</v>
      </c>
      <c r="I25" s="85">
        <f t="shared" si="9"/>
        <v>349801.67012725252</v>
      </c>
      <c r="J25" s="85">
        <f>-I25*'Tables 26a,b-MasterInputs'!$J63</f>
        <v>-17490.083506362625</v>
      </c>
      <c r="K25" s="299">
        <f t="shared" si="10"/>
        <v>332311.5866208899</v>
      </c>
      <c r="L25" s="107">
        <f>IFERROR(K25/'Table 12-IUL Census'!$G19,0)</f>
        <v>7.2038984830267623</v>
      </c>
      <c r="M25" s="88">
        <f>'Table 12-IUL Census'!F19</f>
        <v>2427.8636834724057</v>
      </c>
      <c r="N25" s="89">
        <f>'Tables 26a,b-MasterInputs'!$H63</f>
        <v>6</v>
      </c>
      <c r="O25" s="175">
        <f t="shared" si="11"/>
        <v>14567.182100834434</v>
      </c>
      <c r="R25" s="137">
        <v>8</v>
      </c>
      <c r="S25" s="85">
        <v>0</v>
      </c>
      <c r="T25" s="300">
        <f>MAX('Table 7-11-IULHostVEDInputs'!F38*(AB24+S25+U25+V25+W25),0)</f>
        <v>0</v>
      </c>
      <c r="U25" s="174">
        <f>MAX(-'Tables 26a,b-MasterInputs'!$K63*('Table 12-IUL Census'!$G18*1000/(1+'Tables 26a,b-MasterInputs'!$E38)-(AB24+S25+V25+W25)),-AB24-V25)*IF(X24=0,0,1)</f>
        <v>-184696.84436519592</v>
      </c>
      <c r="V25" s="174">
        <f>-'Tables 26a,b-MasterInputs'!$G63*'Table 12-IUL Census'!$D18*IF(X24=0,0,1)</f>
        <v>-9739.0161495929697</v>
      </c>
      <c r="W25" s="174">
        <f>-'Tables 26a,b-MasterInputs'!$F63*S25</f>
        <v>0</v>
      </c>
      <c r="X25" s="85">
        <f t="shared" si="12"/>
        <v>2063404.5533947032</v>
      </c>
      <c r="Y25" s="85">
        <f>-X25*'Tables 26a,b-MasterInputs'!$I63</f>
        <v>-5839.4348861070102</v>
      </c>
      <c r="Z25" s="85">
        <f t="shared" si="13"/>
        <v>2057565.1185085962</v>
      </c>
      <c r="AA25" s="85">
        <f>-Z25*'Tables 26a,b-MasterInputs'!$J63</f>
        <v>-102878.25592542981</v>
      </c>
      <c r="AB25" s="299">
        <f t="shared" si="14"/>
        <v>1954686.8625831665</v>
      </c>
      <c r="AC25" s="107">
        <f>IFERROR(AB25/'Table 12-IUL Census'!G19,0)</f>
        <v>42.373983607798841</v>
      </c>
      <c r="AD25" s="88">
        <f>'Table 12-IUL Census'!F19</f>
        <v>2427.8636834724057</v>
      </c>
      <c r="AE25" s="89">
        <f>'Tables 26a,b-MasterInputs'!$H63</f>
        <v>6</v>
      </c>
      <c r="AF25" s="175">
        <f t="shared" si="15"/>
        <v>14567.182100834434</v>
      </c>
      <c r="AG25" s="303">
        <f t="shared" ca="1" si="32"/>
        <v>0</v>
      </c>
      <c r="AH25" s="137">
        <v>8</v>
      </c>
      <c r="AI25" s="85">
        <v>0</v>
      </c>
      <c r="AJ25" s="300">
        <f>MAX('Table 7-11-IULHostVEDInputs'!F38*(AR24+AI25+AK25+AL25+AM25),0)</f>
        <v>0</v>
      </c>
      <c r="AK25" s="300">
        <f t="shared" si="42"/>
        <v>-89961.249001872726</v>
      </c>
      <c r="AL25" s="300">
        <f t="shared" si="43"/>
        <v>-4743.6330592332024</v>
      </c>
      <c r="AM25" s="300">
        <f t="shared" si="44"/>
        <v>0</v>
      </c>
      <c r="AN25" s="85">
        <f t="shared" si="16"/>
        <v>1005033.1474668018</v>
      </c>
      <c r="AO25" s="85">
        <f>-AN25*'Tables 26a,b-MasterInputs'!$I63</f>
        <v>-2844.2438073310491</v>
      </c>
      <c r="AP25" s="85">
        <f t="shared" si="17"/>
        <v>1002188.9036594707</v>
      </c>
      <c r="AQ25" s="85">
        <f>-AP25*'Tables 26a,b-MasterInputs'!$J63</f>
        <v>-50109.445182973541</v>
      </c>
      <c r="AR25" s="299">
        <f t="shared" si="18"/>
        <v>952079.45847649721</v>
      </c>
      <c r="AS25" s="301">
        <f>IFERROR(AR25/'Table 12-IUL Census'!$G19,0)</f>
        <v>20.639315758990833</v>
      </c>
      <c r="AT25" s="88">
        <f>'Table 12-IUL Census'!$F19*(AR24/($AR24+BH24))</f>
        <v>1182.5521444188932</v>
      </c>
      <c r="AU25" s="89">
        <f>'Tables 26a,b-MasterInputs'!$H63</f>
        <v>6</v>
      </c>
      <c r="AV25" s="270">
        <f t="shared" si="19"/>
        <v>7095.312866513359</v>
      </c>
      <c r="AW25" s="120"/>
      <c r="AX25" s="137">
        <v>8</v>
      </c>
      <c r="AY25" s="85">
        <v>0</v>
      </c>
      <c r="AZ25" s="300">
        <f>MAX('Table 7-11-IULHostVEDInputs'!F38*(BH24+AY25+BA25+BB25+BC25),0)</f>
        <v>0</v>
      </c>
      <c r="BA25" s="300">
        <f t="shared" si="45"/>
        <v>-94735.595363323198</v>
      </c>
      <c r="BB25" s="300">
        <f t="shared" si="46"/>
        <v>-4995.3830903597682</v>
      </c>
      <c r="BC25" s="300">
        <f t="shared" si="47"/>
        <v>0</v>
      </c>
      <c r="BD25" s="85">
        <f t="shared" si="33"/>
        <v>1058371.4059279016</v>
      </c>
      <c r="BE25" s="85">
        <f>-BD25*'Tables 26a,b-MasterInputs'!$I63</f>
        <v>-2995.1910787759616</v>
      </c>
      <c r="BF25" s="85">
        <f t="shared" si="34"/>
        <v>1055376.2148491256</v>
      </c>
      <c r="BG25" s="85">
        <f>-BF25*'Tables 26a,b-MasterInputs'!$J63</f>
        <v>-52768.810742456284</v>
      </c>
      <c r="BH25" s="270">
        <f t="shared" si="35"/>
        <v>1002607.4041066694</v>
      </c>
      <c r="BI25" s="301">
        <f>IFERROR(BH25/'Table 12-IUL Census'!$G19,0)</f>
        <v>21.734667848808016</v>
      </c>
      <c r="BJ25" s="88">
        <f>'Table 12-IUL Census'!$F19*(BH24/($AR24+BH24))</f>
        <v>1245.3115390535127</v>
      </c>
      <c r="BK25" s="89">
        <f>'Tables 26a,b-MasterInputs'!$H63</f>
        <v>6</v>
      </c>
      <c r="BL25" s="175">
        <f t="shared" si="20"/>
        <v>7471.869234321076</v>
      </c>
      <c r="BO25" s="137">
        <v>8</v>
      </c>
      <c r="BP25" s="85">
        <v>0</v>
      </c>
      <c r="BQ25" s="302">
        <f>MAX('Table 7-11-IULHostVEDInputs'!F38*(BY24+BP25+BR25+BS25+BT25),0)</f>
        <v>0</v>
      </c>
      <c r="BR25" s="304">
        <f>MAX(-'Tables 26a,b-MasterInputs'!$K63*('Table 12-IUL Census'!$G18*1000/(1+'Tables 26a,b-MasterInputs'!$E38)-(BY24+BP25+BS25+BT25)),-BY24-BS25)*IF(BU24=0,0,1)</f>
        <v>-177752.06393849268</v>
      </c>
      <c r="BS25" s="304">
        <f>-'Tables 26a,b-MasterInputs'!$G63*'Table 12-IUL Census'!$D18*IF(BU24=0,0,1)</f>
        <v>-9739.0161495929697</v>
      </c>
      <c r="BT25" s="304">
        <f>-'Tables 26a,b-MasterInputs'!$F63*BP25</f>
        <v>0</v>
      </c>
      <c r="BU25" s="85">
        <f t="shared" si="21"/>
        <v>3772142.6878456129</v>
      </c>
      <c r="BV25" s="85">
        <f>-BU25*'Tables 26a,b-MasterInputs'!$I63</f>
        <v>-10675.163806603085</v>
      </c>
      <c r="BW25" s="85">
        <f t="shared" si="22"/>
        <v>3761467.5240390096</v>
      </c>
      <c r="BX25" s="85">
        <f>-BW25*'Tables 26a,b-MasterInputs'!$J63</f>
        <v>-188073.37620195048</v>
      </c>
      <c r="BY25" s="299">
        <f t="shared" si="23"/>
        <v>3573394.1478370591</v>
      </c>
      <c r="BZ25" s="107">
        <f>IFERROR(BY25/'Table 12-IUL Census'!$G19,0)</f>
        <v>77.464553501192526</v>
      </c>
      <c r="CA25" s="88">
        <f>'Table 12-IUL Census'!$F19</f>
        <v>2427.8636834724057</v>
      </c>
      <c r="CB25" s="89">
        <f>'Tables 26a,b-MasterInputs'!$H63</f>
        <v>6</v>
      </c>
      <c r="CC25" s="175">
        <f t="shared" si="24"/>
        <v>14567.182100834434</v>
      </c>
      <c r="CD25" s="303">
        <f t="shared" ca="1" si="25"/>
        <v>0</v>
      </c>
      <c r="CE25" s="137">
        <v>8</v>
      </c>
      <c r="CF25" s="85">
        <v>0</v>
      </c>
      <c r="CG25" s="302">
        <f>MAX('Table 7-11-IULHostVEDInputs'!F38*(CO24+CF25+CH25+CI25+CJ25),0)</f>
        <v>0</v>
      </c>
      <c r="CH25" s="300">
        <f t="shared" si="49"/>
        <v>-56559.933553466304</v>
      </c>
      <c r="CI25" s="300">
        <f t="shared" si="50"/>
        <v>-3098.9125757083721</v>
      </c>
      <c r="CJ25" s="300">
        <f t="shared" si="48"/>
        <v>0</v>
      </c>
      <c r="CK25" s="85">
        <f t="shared" si="26"/>
        <v>1200279.3950823979</v>
      </c>
      <c r="CL25" s="85">
        <f>-CK25*'Tables 26a,b-MasterInputs'!$I63</f>
        <v>-3396.7906880831861</v>
      </c>
      <c r="CM25" s="85">
        <f t="shared" si="27"/>
        <v>1196882.6043943146</v>
      </c>
      <c r="CN25" s="85">
        <f>-CM25*'Tables 26a,b-MasterInputs'!$J63</f>
        <v>-59844.130219715735</v>
      </c>
      <c r="CO25" s="299">
        <f t="shared" si="28"/>
        <v>1137038.4741745989</v>
      </c>
      <c r="CP25" s="301">
        <f>IFERROR(CO25/'Table 12-IUL Census'!$G19,0)</f>
        <v>24.648883966222034</v>
      </c>
      <c r="CQ25" s="88">
        <f>'Table 12-IUL Census'!$F19*(CO24/(CO24+DE24+DU24))</f>
        <v>772.53566327977944</v>
      </c>
      <c r="CR25" s="89">
        <f>'Tables 26a,b-MasterInputs'!$H63</f>
        <v>6</v>
      </c>
      <c r="CS25" s="270">
        <f t="shared" si="29"/>
        <v>4635.2139796786769</v>
      </c>
      <c r="CU25" s="137">
        <v>8</v>
      </c>
      <c r="CV25" s="85">
        <v>0</v>
      </c>
      <c r="CW25" s="302">
        <f>MAX('Table 7-11-IULHostVEDInputs'!F38*(DE24+CV25+CX25+CY25+CZ25),0)</f>
        <v>0</v>
      </c>
      <c r="CX25" s="300">
        <f t="shared" si="51"/>
        <v>-59561.63390735149</v>
      </c>
      <c r="CY25" s="300">
        <f t="shared" si="52"/>
        <v>-3263.3754099224516</v>
      </c>
      <c r="CZ25" s="300">
        <v>0</v>
      </c>
      <c r="DA25" s="85">
        <f t="shared" si="36"/>
        <v>1263979.5951820691</v>
      </c>
      <c r="DB25" s="85">
        <f>-DA25*'Tables 26a,b-MasterInputs'!$I63</f>
        <v>-3577.0622543652557</v>
      </c>
      <c r="DC25" s="85">
        <f t="shared" si="37"/>
        <v>1260402.5329277038</v>
      </c>
      <c r="DD25" s="85">
        <f>-DC25*'Tables 26a,b-MasterInputs'!$J63</f>
        <v>-63020.126646385193</v>
      </c>
      <c r="DE25" s="270">
        <f t="shared" si="38"/>
        <v>1197382.4062813185</v>
      </c>
      <c r="DF25" s="301">
        <f>IFERROR(DE25/'Table 12-IUL Census'!$G19,0)</f>
        <v>25.957028426016024</v>
      </c>
      <c r="DG25" s="88">
        <f>'Table 12-IUL Census'!$F19*(DE24/(CO24+DE24+DU24))</f>
        <v>813.53501437809291</v>
      </c>
      <c r="DH25" s="89">
        <f>'Tables 26a,b-MasterInputs'!$H63</f>
        <v>6</v>
      </c>
      <c r="DI25" s="175">
        <f t="shared" si="30"/>
        <v>4881.2100862685575</v>
      </c>
      <c r="DK25" s="137">
        <v>8</v>
      </c>
      <c r="DL25" s="85">
        <v>0</v>
      </c>
      <c r="DM25" s="302">
        <f>MAX('Table 7-11-IULHostVEDInputs'!F38*(DU24+DL25+DN25+DO25+DP25),0)</f>
        <v>0</v>
      </c>
      <c r="DN25" s="300">
        <f t="shared" si="53"/>
        <v>-61630.496477674882</v>
      </c>
      <c r="DO25" s="300">
        <f t="shared" si="54"/>
        <v>-3376.728163962146</v>
      </c>
      <c r="DP25" s="300">
        <v>0</v>
      </c>
      <c r="DQ25" s="85">
        <f t="shared" si="39"/>
        <v>1307883.6975811464</v>
      </c>
      <c r="DR25" s="85">
        <f>-DQ25*'Tables 26a,b-MasterInputs'!$I63</f>
        <v>-3701.3108641546442</v>
      </c>
      <c r="DS25" s="85">
        <f t="shared" si="40"/>
        <v>1304182.3867169917</v>
      </c>
      <c r="DT25" s="85">
        <f>-DS25*'Tables 26a,b-MasterInputs'!$J63</f>
        <v>-65209.119335849588</v>
      </c>
      <c r="DU25" s="270">
        <f t="shared" si="41"/>
        <v>1238973.2673811421</v>
      </c>
      <c r="DV25" s="301">
        <f>IFERROR(DU25/'Table 12-IUL Census'!$G19,0)</f>
        <v>26.85864110895448</v>
      </c>
      <c r="DW25" s="88">
        <f>'Table 12-IUL Census'!$F19*(DU24/(CO24+DE24+DU24))</f>
        <v>841.79300581453333</v>
      </c>
      <c r="DX25" s="89">
        <f>'Tables 26a,b-MasterInputs'!$H63</f>
        <v>6</v>
      </c>
      <c r="DY25" s="175">
        <f t="shared" si="31"/>
        <v>5050.7580348871998</v>
      </c>
      <c r="EJ25" s="88"/>
      <c r="EK25" s="88"/>
      <c r="EL25" s="88"/>
      <c r="EM25" s="88"/>
      <c r="EN25" s="88"/>
      <c r="EO25" s="85"/>
      <c r="EP25" s="85"/>
      <c r="EQ25" s="85"/>
    </row>
    <row r="26" spans="1:147" x14ac:dyDescent="0.25">
      <c r="A26" s="137">
        <v>9</v>
      </c>
      <c r="B26" s="85">
        <v>0</v>
      </c>
      <c r="C26" s="174">
        <f>MAX('Table 7-11-IULHostVEDInputs'!F39*(K25+B26+D26+E26+F26),0)</f>
        <v>0</v>
      </c>
      <c r="D26" s="174">
        <f>MAX(-'Tables 26a,b-MasterInputs'!$K64*('Table 12-IUL Census'!$G19*1000/(1+'Tables 26a,b-MasterInputs'!$E39)-(K25+B26+E26+F26)),-K25-E26)*IF(G25=0,0,1)</f>
        <v>-171752.80982577291</v>
      </c>
      <c r="E26" s="174">
        <f>-'Tables 26a,b-MasterInputs'!$G64*'Table 12-IUL Census'!D19*IF(G25=0,0,1)</f>
        <v>-9225.8819971951416</v>
      </c>
      <c r="F26" s="174">
        <f>-'Tables 26a,b-MasterInputs'!$F64*B26</f>
        <v>0</v>
      </c>
      <c r="G26" s="85">
        <f t="shared" si="8"/>
        <v>151332.89479792185</v>
      </c>
      <c r="H26" s="85">
        <f>-G26*'Tables 26a,b-MasterInputs'!$I64</f>
        <v>-470.64530282153692</v>
      </c>
      <c r="I26" s="85">
        <f t="shared" si="9"/>
        <v>150862.24949510032</v>
      </c>
      <c r="J26" s="85">
        <f>-I26*'Tables 26a,b-MasterInputs'!$J64</f>
        <v>-6034.4899798040124</v>
      </c>
      <c r="K26" s="299">
        <f t="shared" si="10"/>
        <v>144827.75951529632</v>
      </c>
      <c r="L26" s="107">
        <f>IFERROR(K26/'Table 12-IUL Census'!$G20,0)</f>
        <v>3.2806163105907977</v>
      </c>
      <c r="M26" s="88">
        <f>'Table 12-IUL Census'!F20</f>
        <v>1839.4379008367732</v>
      </c>
      <c r="N26" s="89">
        <f>'Tables 26a,b-MasterInputs'!$H64</f>
        <v>4</v>
      </c>
      <c r="O26" s="175">
        <f t="shared" si="11"/>
        <v>7357.7516033470929</v>
      </c>
      <c r="R26" s="137">
        <v>9</v>
      </c>
      <c r="S26" s="85">
        <v>0</v>
      </c>
      <c r="T26" s="300">
        <f>MAX('Table 7-11-IULHostVEDInputs'!F39*(AB25+S26+U26+V26+W26),0)</f>
        <v>0</v>
      </c>
      <c r="U26" s="174">
        <f>MAX(-'Tables 26a,b-MasterInputs'!$K64*('Table 12-IUL Census'!$G19*1000/(1+'Tables 26a,b-MasterInputs'!$E39)-(AB25+S26+V26+W26)),-AB25-V26)*IF(X25=0,0,1)</f>
        <v>-165516.46415998496</v>
      </c>
      <c r="V26" s="174">
        <f>-'Tables 26a,b-MasterInputs'!$G64*'Table 12-IUL Census'!$D19*IF(X25=0,0,1)</f>
        <v>-9225.8819971951416</v>
      </c>
      <c r="W26" s="174">
        <f>-'Tables 26a,b-MasterInputs'!$F64*S26</f>
        <v>0</v>
      </c>
      <c r="X26" s="85">
        <f t="shared" si="12"/>
        <v>1779944.5164259863</v>
      </c>
      <c r="Y26" s="85">
        <f>-X26*'Tables 26a,b-MasterInputs'!$I64</f>
        <v>-5535.6274460848172</v>
      </c>
      <c r="Z26" s="85">
        <f t="shared" si="13"/>
        <v>1774408.8889799016</v>
      </c>
      <c r="AA26" s="85">
        <f>-Z26*'Tables 26a,b-MasterInputs'!$J64</f>
        <v>-70976.355559196061</v>
      </c>
      <c r="AB26" s="299">
        <f t="shared" si="14"/>
        <v>1703432.5334207055</v>
      </c>
      <c r="AC26" s="107">
        <f>IFERROR(AB26/'Table 12-IUL Census'!G20,0)</f>
        <v>38.585893835779103</v>
      </c>
      <c r="AD26" s="88">
        <f>'Table 12-IUL Census'!F20</f>
        <v>1839.4379008367732</v>
      </c>
      <c r="AE26" s="89">
        <f>'Tables 26a,b-MasterInputs'!$H64</f>
        <v>4</v>
      </c>
      <c r="AF26" s="175">
        <f t="shared" si="15"/>
        <v>7357.7516033470929</v>
      </c>
      <c r="AG26" s="303">
        <f t="shared" ca="1" si="32"/>
        <v>0</v>
      </c>
      <c r="AH26" s="137">
        <v>9</v>
      </c>
      <c r="AI26" s="85">
        <v>0</v>
      </c>
      <c r="AJ26" s="300">
        <f>MAX('Table 7-11-IULHostVEDInputs'!F39*(AR25+AI26+AK26+AL26+AM26),0)</f>
        <v>0</v>
      </c>
      <c r="AK26" s="300">
        <f t="shared" si="42"/>
        <v>-80618.961831119508</v>
      </c>
      <c r="AL26" s="300">
        <f t="shared" si="43"/>
        <v>-4493.6981487917938</v>
      </c>
      <c r="AM26" s="300">
        <f t="shared" si="44"/>
        <v>0</v>
      </c>
      <c r="AN26" s="85">
        <f t="shared" si="16"/>
        <v>866966.79849658592</v>
      </c>
      <c r="AO26" s="85">
        <f>-AN26*'Tables 26a,b-MasterInputs'!$I64</f>
        <v>-2696.2667433243823</v>
      </c>
      <c r="AP26" s="85">
        <f t="shared" si="17"/>
        <v>864270.53175326157</v>
      </c>
      <c r="AQ26" s="85">
        <f>-AP26*'Tables 26a,b-MasterInputs'!$J64</f>
        <v>-34570.821270130466</v>
      </c>
      <c r="AR26" s="299">
        <f t="shared" si="18"/>
        <v>829699.71048313112</v>
      </c>
      <c r="AS26" s="301">
        <f>IFERROR(AR26/'Table 12-IUL Census'!$G20,0)</f>
        <v>18.794231245536459</v>
      </c>
      <c r="AT26" s="88">
        <f>'Table 12-IUL Census'!$F20*(AR25/($AR25+BH25))</f>
        <v>895.94454950981049</v>
      </c>
      <c r="AU26" s="89">
        <f>'Tables 26a,b-MasterInputs'!$H64</f>
        <v>4</v>
      </c>
      <c r="AV26" s="270">
        <f t="shared" si="19"/>
        <v>3583.7781980392419</v>
      </c>
      <c r="AW26" s="120"/>
      <c r="AX26" s="137">
        <v>9</v>
      </c>
      <c r="AY26" s="85">
        <v>0</v>
      </c>
      <c r="AZ26" s="300">
        <f>MAX('Table 7-11-IULHostVEDInputs'!F39*(BH25+AY26+BA26+BB26+BC26),0)</f>
        <v>0</v>
      </c>
      <c r="BA26" s="300">
        <f t="shared" si="45"/>
        <v>-84897.502328865463</v>
      </c>
      <c r="BB26" s="300">
        <f t="shared" si="46"/>
        <v>-4732.1838484033478</v>
      </c>
      <c r="BC26" s="300">
        <f t="shared" si="47"/>
        <v>0</v>
      </c>
      <c r="BD26" s="85">
        <f t="shared" si="33"/>
        <v>912977.7179294005</v>
      </c>
      <c r="BE26" s="85">
        <f>-BD26*'Tables 26a,b-MasterInputs'!$I64</f>
        <v>-2839.3607027604353</v>
      </c>
      <c r="BF26" s="85">
        <f t="shared" si="34"/>
        <v>910138.3572266401</v>
      </c>
      <c r="BG26" s="85">
        <f>-BF26*'Tables 26a,b-MasterInputs'!$J64</f>
        <v>-36405.534289065603</v>
      </c>
      <c r="BH26" s="270">
        <f t="shared" si="35"/>
        <v>873732.82293757447</v>
      </c>
      <c r="BI26" s="301">
        <f>IFERROR(BH26/'Table 12-IUL Census'!$G20,0)</f>
        <v>19.791662590242645</v>
      </c>
      <c r="BJ26" s="88">
        <f>'Table 12-IUL Census'!$F20*(BH25/($AR25+BH25))</f>
        <v>943.49335132696285</v>
      </c>
      <c r="BK26" s="89">
        <f>'Tables 26a,b-MasterInputs'!$H64</f>
        <v>4</v>
      </c>
      <c r="BL26" s="175">
        <f t="shared" si="20"/>
        <v>3773.9734053078514</v>
      </c>
      <c r="BO26" s="137">
        <v>9</v>
      </c>
      <c r="BP26" s="85">
        <v>0</v>
      </c>
      <c r="BQ26" s="302">
        <f>MAX('Table 7-11-IULHostVEDInputs'!F39*(BY25+BP26+BR26+BS26+BT26),0)</f>
        <v>0</v>
      </c>
      <c r="BR26" s="304">
        <f>MAX(-'Tables 26a,b-MasterInputs'!$K64*('Table 12-IUL Census'!$G19*1000/(1+'Tables 26a,b-MasterInputs'!$E39)-(BY25+BP26+BS26+BT26)),-BY25-BS26)*IF(BU25=0,0,1)</f>
        <v>-159294.21810376039</v>
      </c>
      <c r="BS26" s="304">
        <f>-'Tables 26a,b-MasterInputs'!$G64*'Table 12-IUL Census'!$D19*IF(BU25=0,0,1)</f>
        <v>-9225.8819971951416</v>
      </c>
      <c r="BT26" s="304">
        <f>-'Tables 26a,b-MasterInputs'!$F64*BP26</f>
        <v>0</v>
      </c>
      <c r="BU26" s="85">
        <f t="shared" si="21"/>
        <v>3404874.0477361036</v>
      </c>
      <c r="BV26" s="85">
        <f>-BU26*'Tables 26a,b-MasterInputs'!$I64</f>
        <v>-10589.158288459283</v>
      </c>
      <c r="BW26" s="85">
        <f t="shared" si="22"/>
        <v>3394284.8894476444</v>
      </c>
      <c r="BX26" s="85">
        <f>-BW26*'Tables 26a,b-MasterInputs'!$J64</f>
        <v>-135771.39557790579</v>
      </c>
      <c r="BY26" s="299">
        <f t="shared" si="23"/>
        <v>3258513.4938697387</v>
      </c>
      <c r="BZ26" s="107">
        <f>IFERROR(BY26/'Table 12-IUL Census'!$G20,0)</f>
        <v>73.811350476220198</v>
      </c>
      <c r="CA26" s="88">
        <f>'Table 12-IUL Census'!$F20</f>
        <v>1839.4379008367732</v>
      </c>
      <c r="CB26" s="89">
        <f>'Tables 26a,b-MasterInputs'!$H64</f>
        <v>4</v>
      </c>
      <c r="CC26" s="175">
        <f t="shared" si="24"/>
        <v>7357.7516033470929</v>
      </c>
      <c r="CD26" s="303">
        <f t="shared" ca="1" si="25"/>
        <v>0</v>
      </c>
      <c r="CE26" s="137">
        <v>9</v>
      </c>
      <c r="CF26" s="85">
        <v>0</v>
      </c>
      <c r="CG26" s="302">
        <f>MAX('Table 7-11-IULHostVEDInputs'!F39*(CO25+CF26+CH26+CI26+CJ26),0)</f>
        <v>0</v>
      </c>
      <c r="CH26" s="300">
        <f t="shared" si="49"/>
        <v>-50686.727297398153</v>
      </c>
      <c r="CI26" s="300">
        <f t="shared" si="50"/>
        <v>-2935.6355204631623</v>
      </c>
      <c r="CJ26" s="300">
        <f t="shared" si="48"/>
        <v>0</v>
      </c>
      <c r="CK26" s="85">
        <f t="shared" si="26"/>
        <v>1083416.1113567376</v>
      </c>
      <c r="CL26" s="85">
        <f>-CK26*'Tables 26a,b-MasterInputs'!$I64</f>
        <v>-3369.4241063194536</v>
      </c>
      <c r="CM26" s="85">
        <f t="shared" si="27"/>
        <v>1080046.6872504181</v>
      </c>
      <c r="CN26" s="85">
        <f>-CM26*'Tables 26a,b-MasterInputs'!$J64</f>
        <v>-43201.867490016724</v>
      </c>
      <c r="CO26" s="299">
        <f t="shared" si="28"/>
        <v>1036844.8197604014</v>
      </c>
      <c r="CP26" s="301">
        <f>IFERROR(CO26/'Table 12-IUL Census'!$G20,0)</f>
        <v>23.486450654498263</v>
      </c>
      <c r="CQ26" s="88">
        <f>'Table 12-IUL Census'!$F20*(CO25/(CO25+DE25+DU25))</f>
        <v>585.3011387989045</v>
      </c>
      <c r="CR26" s="89">
        <f>'Tables 26a,b-MasterInputs'!$H64</f>
        <v>4</v>
      </c>
      <c r="CS26" s="270">
        <f t="shared" si="29"/>
        <v>2341.204555195618</v>
      </c>
      <c r="CU26" s="137">
        <v>9</v>
      </c>
      <c r="CV26" s="85">
        <v>0</v>
      </c>
      <c r="CW26" s="302">
        <f>MAX('Table 7-11-IULHostVEDInputs'!F39*(DE25+CV26+CX26+CY26+CZ26),0)</f>
        <v>0</v>
      </c>
      <c r="CX26" s="300">
        <f t="shared" si="51"/>
        <v>-53376.729878855505</v>
      </c>
      <c r="CY26" s="300">
        <f t="shared" si="52"/>
        <v>-3091.4330546367523</v>
      </c>
      <c r="CZ26" s="300">
        <v>0</v>
      </c>
      <c r="DA26" s="85">
        <f t="shared" si="36"/>
        <v>1140914.2433478262</v>
      </c>
      <c r="DB26" s="85">
        <f>-DA26*'Tables 26a,b-MasterInputs'!$I64</f>
        <v>-3548.2432968117391</v>
      </c>
      <c r="DC26" s="85">
        <f t="shared" si="37"/>
        <v>1137366.0000510144</v>
      </c>
      <c r="DD26" s="85">
        <f>-DC26*'Tables 26a,b-MasterInputs'!$J64</f>
        <v>-45494.640002040578</v>
      </c>
      <c r="DE26" s="270">
        <f t="shared" si="38"/>
        <v>1091871.3600489737</v>
      </c>
      <c r="DF26" s="301">
        <f>IFERROR(DE26/'Table 12-IUL Census'!$G20,0)</f>
        <v>24.732903449116037</v>
      </c>
      <c r="DG26" s="88">
        <f>'Table 12-IUL Census'!$F20*(DE25/(CO25+DE25+DU25))</f>
        <v>616.36373956736657</v>
      </c>
      <c r="DH26" s="89">
        <f>'Tables 26a,b-MasterInputs'!$H64</f>
        <v>4</v>
      </c>
      <c r="DI26" s="175">
        <f t="shared" si="30"/>
        <v>2465.4549582694663</v>
      </c>
      <c r="DK26" s="137">
        <v>9</v>
      </c>
      <c r="DL26" s="85">
        <v>0</v>
      </c>
      <c r="DM26" s="302">
        <f>MAX('Table 7-11-IULHostVEDInputs'!F39*(DU25+DL26+DN26+DO26+DP26),0)</f>
        <v>0</v>
      </c>
      <c r="DN26" s="300">
        <f t="shared" si="53"/>
        <v>-55230.76092750673</v>
      </c>
      <c r="DO26" s="300">
        <f t="shared" si="54"/>
        <v>-3198.8134220952265</v>
      </c>
      <c r="DP26" s="300">
        <v>0</v>
      </c>
      <c r="DQ26" s="85">
        <f t="shared" si="39"/>
        <v>1180543.6930315401</v>
      </c>
      <c r="DR26" s="85">
        <f>-DQ26*'Tables 26a,b-MasterInputs'!$I64</f>
        <v>-3671.4908853280899</v>
      </c>
      <c r="DS26" s="85">
        <f t="shared" si="40"/>
        <v>1176872.2021462121</v>
      </c>
      <c r="DT26" s="85">
        <f>-DS26*'Tables 26a,b-MasterInputs'!$J64</f>
        <v>-47074.888085848484</v>
      </c>
      <c r="DU26" s="270">
        <f t="shared" si="41"/>
        <v>1129797.3140603637</v>
      </c>
      <c r="DV26" s="301">
        <f>IFERROR(DU26/'Table 12-IUL Census'!$G20,0)</f>
        <v>25.591996372605898</v>
      </c>
      <c r="DW26" s="88">
        <f>'Table 12-IUL Census'!$F20*(DU25/(CO25+DE25+DU25))</f>
        <v>637.77302247050227</v>
      </c>
      <c r="DX26" s="89">
        <f>'Tables 26a,b-MasterInputs'!$H64</f>
        <v>4</v>
      </c>
      <c r="DY26" s="175">
        <f t="shared" si="31"/>
        <v>2551.0920898820091</v>
      </c>
      <c r="EJ26" s="88"/>
      <c r="EK26" s="88"/>
      <c r="EL26" s="88"/>
      <c r="EM26" s="88"/>
      <c r="EN26" s="88"/>
      <c r="EO26" s="85"/>
      <c r="EP26" s="85"/>
      <c r="EQ26" s="85"/>
    </row>
    <row r="27" spans="1:147" x14ac:dyDescent="0.25">
      <c r="A27" s="137">
        <v>10</v>
      </c>
      <c r="B27" s="85">
        <v>0</v>
      </c>
      <c r="C27" s="174">
        <f>MAX('Table 7-11-IULHostVEDInputs'!F40*(K26+B27+D27+E27+F27),0)</f>
        <v>0</v>
      </c>
      <c r="D27" s="174">
        <f>MAX(-'Tables 26a,b-MasterInputs'!$K65*('Table 12-IUL Census'!$G20*1000/(1+'Tables 26a,b-MasterInputs'!$E40)-(K26+B27+E27+F27)),-K26-E27)*IF(G26=0,0,1)</f>
        <v>-135998.45759127982</v>
      </c>
      <c r="E27" s="174">
        <f>-'Tables 26a,b-MasterInputs'!$G65*'Table 12-IUL Census'!D20*IF(G26=0,0,1)</f>
        <v>-8829.3019240165104</v>
      </c>
      <c r="F27" s="174">
        <f>-'Tables 26a,b-MasterInputs'!$F65*B27</f>
        <v>0</v>
      </c>
      <c r="G27" s="85">
        <f t="shared" si="8"/>
        <v>0</v>
      </c>
      <c r="H27" s="85">
        <f>-G27*'Tables 26a,b-MasterInputs'!$I65</f>
        <v>0</v>
      </c>
      <c r="I27" s="85">
        <f t="shared" si="9"/>
        <v>0</v>
      </c>
      <c r="J27" s="85">
        <f>-I27*'Tables 26a,b-MasterInputs'!$J65</f>
        <v>0</v>
      </c>
      <c r="K27" s="299">
        <f t="shared" si="10"/>
        <v>0</v>
      </c>
      <c r="L27" s="107">
        <f>IFERROR(K27/'Table 12-IUL Census'!$G21,0)</f>
        <v>0</v>
      </c>
      <c r="M27" s="88">
        <f>'Table 12-IUL Census'!F21</f>
        <v>1759.7681664757311</v>
      </c>
      <c r="N27" s="89">
        <f>'Tables 26a,b-MasterInputs'!$H65</f>
        <v>2</v>
      </c>
      <c r="O27" s="175">
        <f t="shared" si="11"/>
        <v>3519.5363329514621</v>
      </c>
      <c r="R27" s="137">
        <v>10</v>
      </c>
      <c r="S27" s="85">
        <v>0</v>
      </c>
      <c r="T27" s="300">
        <f>MAX('Table 7-11-IULHostVEDInputs'!F40*(AB26+S27+U27+V27+W27),0)</f>
        <v>0</v>
      </c>
      <c r="U27" s="174">
        <f>MAX(-'Tables 26a,b-MasterInputs'!$K65*('Table 12-IUL Census'!$G20*1000/(1+'Tables 26a,b-MasterInputs'!$E40)-(AB26+S27+V27+W27)),-AB26-V27)*IF(X26=0,0,1)</f>
        <v>-147026.63906074315</v>
      </c>
      <c r="V27" s="174">
        <f>-'Tables 26a,b-MasterInputs'!$G65*'Table 12-IUL Census'!$D20*IF(X26=0,0,1)</f>
        <v>-8829.3019240165104</v>
      </c>
      <c r="W27" s="174">
        <f>-'Tables 26a,b-MasterInputs'!$F65*S27</f>
        <v>0</v>
      </c>
      <c r="X27" s="85">
        <f t="shared" si="12"/>
        <v>1547576.5924359458</v>
      </c>
      <c r="Y27" s="85">
        <f>-X27*'Tables 26a,b-MasterInputs'!$I65</f>
        <v>-5339.1392439040128</v>
      </c>
      <c r="Z27" s="85">
        <f t="shared" si="13"/>
        <v>1542237.4531920417</v>
      </c>
      <c r="AA27" s="85">
        <f>-Z27*'Tables 26a,b-MasterInputs'!$J65</f>
        <v>-61689.498127681669</v>
      </c>
      <c r="AB27" s="299">
        <f t="shared" si="14"/>
        <v>1480547.9550643601</v>
      </c>
      <c r="AC27" s="107">
        <f>IFERROR(AB27/'Table 12-IUL Census'!G21,0)</f>
        <v>35.055468841231864</v>
      </c>
      <c r="AD27" s="88">
        <f>'Table 12-IUL Census'!F21</f>
        <v>1759.7681664757311</v>
      </c>
      <c r="AE27" s="89">
        <f>'Tables 26a,b-MasterInputs'!$H65</f>
        <v>2</v>
      </c>
      <c r="AF27" s="175">
        <f t="shared" si="15"/>
        <v>3519.5363329514621</v>
      </c>
      <c r="AG27" s="303">
        <f t="shared" ca="1" si="32"/>
        <v>0</v>
      </c>
      <c r="AH27" s="137">
        <v>10</v>
      </c>
      <c r="AI27" s="85">
        <v>0</v>
      </c>
      <c r="AJ27" s="300">
        <f>MAX('Table 7-11-IULHostVEDInputs'!F40*(AR26+AI27+AK27+AL27+AM27),0)</f>
        <v>0</v>
      </c>
      <c r="AK27" s="300">
        <f t="shared" si="42"/>
        <v>-71613.026913980153</v>
      </c>
      <c r="AL27" s="300">
        <f t="shared" si="43"/>
        <v>-4300.5338376470891</v>
      </c>
      <c r="AM27" s="300">
        <f t="shared" si="44"/>
        <v>0</v>
      </c>
      <c r="AN27" s="85">
        <f t="shared" si="16"/>
        <v>753786.14973150392</v>
      </c>
      <c r="AO27" s="85">
        <f>-AN27*'Tables 26a,b-MasterInputs'!$I65</f>
        <v>-2600.5622165736886</v>
      </c>
      <c r="AP27" s="85">
        <f t="shared" si="17"/>
        <v>751185.58751493017</v>
      </c>
      <c r="AQ27" s="85">
        <f>-AP27*'Tables 26a,b-MasterInputs'!$J65</f>
        <v>-30047.423500597208</v>
      </c>
      <c r="AR27" s="299">
        <f t="shared" si="18"/>
        <v>721138.16401433293</v>
      </c>
      <c r="AS27" s="301">
        <f>IFERROR(AR27/'Table 12-IUL Census'!$G21,0)</f>
        <v>17.07464885034992</v>
      </c>
      <c r="AT27" s="88">
        <f>'Table 12-IUL Census'!$F21*(AR26/($AR26+BH26))</f>
        <v>857.13939918144149</v>
      </c>
      <c r="AU27" s="89">
        <f>'Tables 26a,b-MasterInputs'!$H65</f>
        <v>2</v>
      </c>
      <c r="AV27" s="270">
        <f t="shared" si="19"/>
        <v>1714.278798362883</v>
      </c>
      <c r="AW27" s="120"/>
      <c r="AX27" s="137">
        <v>10</v>
      </c>
      <c r="AY27" s="85">
        <v>0</v>
      </c>
      <c r="AZ27" s="300">
        <f>MAX('Table 7-11-IULHostVEDInputs'!F40*(BH26+AY27+BA27+BB27+BC27),0)</f>
        <v>0</v>
      </c>
      <c r="BA27" s="300">
        <f t="shared" si="45"/>
        <v>-75413.612146762971</v>
      </c>
      <c r="BB27" s="300">
        <f t="shared" si="46"/>
        <v>-4528.7680863694204</v>
      </c>
      <c r="BC27" s="300">
        <f t="shared" si="47"/>
        <v>0</v>
      </c>
      <c r="BD27" s="85">
        <f t="shared" si="33"/>
        <v>793790.44270444207</v>
      </c>
      <c r="BE27" s="85">
        <f>-BD27*'Tables 26a,b-MasterInputs'!$I65</f>
        <v>-2738.5770273303251</v>
      </c>
      <c r="BF27" s="85">
        <f t="shared" si="34"/>
        <v>791051.86567711178</v>
      </c>
      <c r="BG27" s="85">
        <f>-BF27*'Tables 26a,b-MasterInputs'!$J65</f>
        <v>-31642.074627084472</v>
      </c>
      <c r="BH27" s="270">
        <f t="shared" si="35"/>
        <v>759409.79105002736</v>
      </c>
      <c r="BI27" s="301">
        <f>IFERROR(BH27/'Table 12-IUL Census'!$G21,0)</f>
        <v>17.980819990881947</v>
      </c>
      <c r="BJ27" s="88">
        <f>'Table 12-IUL Census'!$F21*(BH26/($AR26+BH26))</f>
        <v>902.62876729428933</v>
      </c>
      <c r="BK27" s="89">
        <f>'Tables 26a,b-MasterInputs'!$H65</f>
        <v>2</v>
      </c>
      <c r="BL27" s="175">
        <f t="shared" si="20"/>
        <v>1805.2575345885787</v>
      </c>
      <c r="BO27" s="137">
        <v>10</v>
      </c>
      <c r="BP27" s="85">
        <v>0</v>
      </c>
      <c r="BQ27" s="302">
        <f>MAX('Table 7-11-IULHostVEDInputs'!F40*(BY26+BP27+BR27+BS27+BT27),0)</f>
        <v>0</v>
      </c>
      <c r="BR27" s="304">
        <f>MAX(-'Tables 26a,b-MasterInputs'!$K65*('Table 12-IUL Census'!$G20*1000/(1+'Tables 26a,b-MasterInputs'!$E40)-(BY26+BP27+BS27+BT27)),-BY26-BS27)*IF(BU26=0,0,1)</f>
        <v>-141500.65886778751</v>
      </c>
      <c r="BS27" s="304">
        <f>-'Tables 26a,b-MasterInputs'!$G65*'Table 12-IUL Census'!$D20*IF(BU26=0,0,1)</f>
        <v>-8829.3019240165104</v>
      </c>
      <c r="BT27" s="304">
        <f>-'Tables 26a,b-MasterInputs'!$F65*BP27</f>
        <v>0</v>
      </c>
      <c r="BU27" s="85">
        <f t="shared" si="21"/>
        <v>3108183.5330779348</v>
      </c>
      <c r="BV27" s="85">
        <f>-BU27*'Tables 26a,b-MasterInputs'!$I65</f>
        <v>-10723.233189118875</v>
      </c>
      <c r="BW27" s="85">
        <f t="shared" si="22"/>
        <v>3097460.2998888157</v>
      </c>
      <c r="BX27" s="85">
        <f>-BW27*'Tables 26a,b-MasterInputs'!$J65</f>
        <v>-123898.41199555263</v>
      </c>
      <c r="BY27" s="299">
        <f t="shared" si="23"/>
        <v>2973561.8878932633</v>
      </c>
      <c r="BZ27" s="107">
        <f>IFERROR(BY27/'Table 12-IUL Census'!$G21,0)</f>
        <v>70.406099141844777</v>
      </c>
      <c r="CA27" s="88">
        <f>'Table 12-IUL Census'!$F21</f>
        <v>1759.7681664757311</v>
      </c>
      <c r="CB27" s="89">
        <f>'Tables 26a,b-MasterInputs'!$H65</f>
        <v>2</v>
      </c>
      <c r="CC27" s="175">
        <f t="shared" si="24"/>
        <v>3519.5363329514621</v>
      </c>
      <c r="CD27" s="303">
        <f t="shared" ca="1" si="25"/>
        <v>0</v>
      </c>
      <c r="CE27" s="137">
        <v>10</v>
      </c>
      <c r="CF27" s="85">
        <v>0</v>
      </c>
      <c r="CG27" s="302">
        <f>MAX('Table 7-11-IULHostVEDInputs'!F40*(CO26+CF27+CH27+CI27+CJ27),0)</f>
        <v>0</v>
      </c>
      <c r="CH27" s="300">
        <f t="shared" si="49"/>
        <v>-45024.894147519582</v>
      </c>
      <c r="CI27" s="300">
        <f t="shared" si="50"/>
        <v>-2809.4454662347412</v>
      </c>
      <c r="CJ27" s="300">
        <f t="shared" si="48"/>
        <v>0</v>
      </c>
      <c r="CK27" s="85">
        <f t="shared" si="26"/>
        <v>989010.48014664708</v>
      </c>
      <c r="CL27" s="85">
        <f>-CK27*'Tables 26a,b-MasterInputs'!$I65</f>
        <v>-3412.0861565059322</v>
      </c>
      <c r="CM27" s="85">
        <f t="shared" si="27"/>
        <v>985598.39399014111</v>
      </c>
      <c r="CN27" s="85">
        <f>-CM27*'Tables 26a,b-MasterInputs'!$J65</f>
        <v>-39423.935759605643</v>
      </c>
      <c r="CO27" s="299">
        <f t="shared" si="28"/>
        <v>946174.4582305355</v>
      </c>
      <c r="CP27" s="301">
        <f>IFERROR(CO27/'Table 12-IUL Census'!$G21,0)</f>
        <v>22.402914492174027</v>
      </c>
      <c r="CQ27" s="88">
        <f>'Table 12-IUL Census'!$F21*(CO26/(CO26+DE26+DU26))</f>
        <v>559.95057587524639</v>
      </c>
      <c r="CR27" s="89">
        <f>'Tables 26a,b-MasterInputs'!$H65</f>
        <v>2</v>
      </c>
      <c r="CS27" s="270">
        <f t="shared" si="29"/>
        <v>1119.9011517504928</v>
      </c>
      <c r="CU27" s="137">
        <v>10</v>
      </c>
      <c r="CV27" s="85">
        <v>0</v>
      </c>
      <c r="CW27" s="302">
        <f>MAX('Table 7-11-IULHostVEDInputs'!F40*(DE26+CV27+CX27+CY27+CZ27),0)</f>
        <v>0</v>
      </c>
      <c r="CX27" s="300">
        <f t="shared" si="51"/>
        <v>-47414.416769014395</v>
      </c>
      <c r="CY27" s="300">
        <f t="shared" si="52"/>
        <v>-2958.5459499233584</v>
      </c>
      <c r="CZ27" s="300">
        <v>0</v>
      </c>
      <c r="DA27" s="85">
        <f t="shared" si="36"/>
        <v>1041498.3973300359</v>
      </c>
      <c r="DB27" s="85">
        <f>-DA27*'Tables 26a,b-MasterInputs'!$I65</f>
        <v>-3593.169470788624</v>
      </c>
      <c r="DC27" s="85">
        <f t="shared" si="37"/>
        <v>1037905.2278592472</v>
      </c>
      <c r="DD27" s="85">
        <f>-DC27*'Tables 26a,b-MasterInputs'!$J65</f>
        <v>-41516.209114369893</v>
      </c>
      <c r="DE27" s="270">
        <f t="shared" si="38"/>
        <v>996389.01874487731</v>
      </c>
      <c r="DF27" s="301">
        <f>IFERROR(DE27/'Table 12-IUL Census'!$G21,0)</f>
        <v>23.591862783558579</v>
      </c>
      <c r="DG27" s="88">
        <f>'Table 12-IUL Census'!$F21*(DE26/(CO26+DE26+DU26))</f>
        <v>589.66779327922472</v>
      </c>
      <c r="DH27" s="89">
        <f>'Tables 26a,b-MasterInputs'!$H65</f>
        <v>2</v>
      </c>
      <c r="DI27" s="175">
        <f t="shared" si="30"/>
        <v>1179.3355865584494</v>
      </c>
      <c r="DK27" s="137">
        <v>10</v>
      </c>
      <c r="DL27" s="85">
        <v>0</v>
      </c>
      <c r="DM27" s="302">
        <f>MAX('Table 7-11-IULHostVEDInputs'!F40*(DU26+DL27+DN27+DO27+DP27),0)</f>
        <v>0</v>
      </c>
      <c r="DN27" s="300">
        <f t="shared" si="53"/>
        <v>-49061.347951253534</v>
      </c>
      <c r="DO27" s="300">
        <f t="shared" si="54"/>
        <v>-3061.3105078584108</v>
      </c>
      <c r="DP27" s="300">
        <v>0</v>
      </c>
      <c r="DQ27" s="85">
        <f t="shared" si="39"/>
        <v>1077674.6556012516</v>
      </c>
      <c r="DR27" s="85">
        <f>-DQ27*'Tables 26a,b-MasterInputs'!$I65</f>
        <v>-3717.9775618243179</v>
      </c>
      <c r="DS27" s="85">
        <f t="shared" si="40"/>
        <v>1073956.6780394274</v>
      </c>
      <c r="DT27" s="85">
        <f>-DS27*'Tables 26a,b-MasterInputs'!$J65</f>
        <v>-42958.267121577097</v>
      </c>
      <c r="DU27" s="270">
        <f t="shared" si="41"/>
        <v>1030998.4109178503</v>
      </c>
      <c r="DV27" s="301">
        <f>IFERROR(DU27/'Table 12-IUL Census'!$G21,0)</f>
        <v>24.411321866112164</v>
      </c>
      <c r="DW27" s="88">
        <f>'Table 12-IUL Census'!$F21*(DU26/(CO26+DE26+DU26))</f>
        <v>610.14979732125994</v>
      </c>
      <c r="DX27" s="89">
        <f>'Tables 26a,b-MasterInputs'!$H65</f>
        <v>2</v>
      </c>
      <c r="DY27" s="175">
        <f t="shared" si="31"/>
        <v>1220.2995946425199</v>
      </c>
      <c r="EJ27" s="88"/>
      <c r="EK27" s="88"/>
      <c r="EL27" s="88"/>
      <c r="EM27" s="88"/>
      <c r="EN27" s="88"/>
      <c r="EO27" s="85"/>
      <c r="EP27" s="85"/>
      <c r="EQ27" s="85"/>
    </row>
    <row r="28" spans="1:147" x14ac:dyDescent="0.25">
      <c r="A28" s="137">
        <v>11</v>
      </c>
      <c r="B28" s="85">
        <v>0</v>
      </c>
      <c r="C28" s="174">
        <f>MAX('Table 7-11-IULHostVEDInputs'!F41*(K27+B28+D28+E28+F28),0)</f>
        <v>0</v>
      </c>
      <c r="D28" s="174">
        <f>MAX(-'Tables 26a,b-MasterInputs'!$K66*('Table 12-IUL Census'!$G21*1000/(1+'Tables 26a,b-MasterInputs'!$E41)-(K27+B28+E28+F28)),-K27-E28)*IF(G27=0,0,1)</f>
        <v>0</v>
      </c>
      <c r="E28" s="174">
        <f>-'Tables 26a,b-MasterInputs'!$G66*'Table 12-IUL Census'!D21*IF(G27=0,0,1)</f>
        <v>0</v>
      </c>
      <c r="F28" s="174">
        <f>-'Tables 26a,b-MasterInputs'!$F66*B28</f>
        <v>0</v>
      </c>
      <c r="G28" s="85">
        <f t="shared" si="8"/>
        <v>0</v>
      </c>
      <c r="H28" s="85">
        <f>-G28*'Tables 26a,b-MasterInputs'!$I66</f>
        <v>0</v>
      </c>
      <c r="I28" s="85">
        <f t="shared" si="9"/>
        <v>0</v>
      </c>
      <c r="J28" s="85">
        <f>-I28*'Tables 26a,b-MasterInputs'!$J66</f>
        <v>0</v>
      </c>
      <c r="K28" s="299">
        <f t="shared" si="10"/>
        <v>0</v>
      </c>
      <c r="L28" s="107">
        <f>IFERROR(K28/'Table 12-IUL Census'!$G22,0)</f>
        <v>0</v>
      </c>
      <c r="M28" s="88">
        <f>'Table 12-IUL Census'!F22</f>
        <v>1682.7719740270184</v>
      </c>
      <c r="N28" s="89">
        <f>'Tables 26a,b-MasterInputs'!$H66</f>
        <v>0</v>
      </c>
      <c r="O28" s="175">
        <f t="shared" si="11"/>
        <v>0</v>
      </c>
      <c r="R28" s="137">
        <v>11</v>
      </c>
      <c r="S28" s="85">
        <v>0</v>
      </c>
      <c r="T28" s="300">
        <f>MAX('Table 7-11-IULHostVEDInputs'!F41*(AB27+S28+U28+V28+W28),0)</f>
        <v>0</v>
      </c>
      <c r="U28" s="174">
        <f>MAX(-'Tables 26a,b-MasterInputs'!$K66*('Table 12-IUL Census'!$G21*1000/(1+'Tables 26a,b-MasterInputs'!$E41)-(AB27+S28+V28+W28)),-AB27-V28)*IF(X27=0,0,1)</f>
        <v>-144012.23704797</v>
      </c>
      <c r="V28" s="174">
        <f>-'Tables 26a,b-MasterInputs'!$G66*'Table 12-IUL Census'!$D21*IF(X27=0,0,1)</f>
        <v>-8446.8871990835069</v>
      </c>
      <c r="W28" s="174">
        <f>-'Tables 26a,b-MasterInputs'!$F66*S28</f>
        <v>0</v>
      </c>
      <c r="X28" s="85">
        <f t="shared" si="12"/>
        <v>1328088.8308173064</v>
      </c>
      <c r="Y28" s="85">
        <f>-X28*'Tables 26a,b-MasterInputs'!$I66</f>
        <v>-5192.8273284956686</v>
      </c>
      <c r="Z28" s="85">
        <f t="shared" si="13"/>
        <v>1322896.0034888107</v>
      </c>
      <c r="AA28" s="85">
        <f>-Z28*'Tables 26a,b-MasterInputs'!$J66</f>
        <v>-52915.840139552427</v>
      </c>
      <c r="AB28" s="299">
        <f t="shared" si="14"/>
        <v>1269980.1633492582</v>
      </c>
      <c r="AC28" s="107">
        <f>IFERROR(AB28/'Table 12-IUL Census'!G22,0)</f>
        <v>31.445639074271181</v>
      </c>
      <c r="AD28" s="88">
        <f>'Table 12-IUL Census'!F22</f>
        <v>1682.7719740270184</v>
      </c>
      <c r="AE28" s="89">
        <f>'Tables 26a,b-MasterInputs'!$H66</f>
        <v>0</v>
      </c>
      <c r="AF28" s="175">
        <f t="shared" si="15"/>
        <v>0</v>
      </c>
      <c r="AG28" s="303">
        <f t="shared" ca="1" si="32"/>
        <v>0</v>
      </c>
      <c r="AH28" s="137">
        <v>11</v>
      </c>
      <c r="AI28" s="85">
        <v>0</v>
      </c>
      <c r="AJ28" s="300">
        <f>MAX('Table 7-11-IULHostVEDInputs'!F41*(AR27+AI28+AK28+AL28+AM28),0)</f>
        <v>0</v>
      </c>
      <c r="AK28" s="300">
        <f t="shared" si="42"/>
        <v>-70144.786506327946</v>
      </c>
      <c r="AL28" s="300">
        <f t="shared" si="43"/>
        <v>-4114.2691160709182</v>
      </c>
      <c r="AM28" s="300">
        <f t="shared" si="44"/>
        <v>0</v>
      </c>
      <c r="AN28" s="85">
        <f t="shared" si="16"/>
        <v>646879.10839193407</v>
      </c>
      <c r="AO28" s="85">
        <f>-AN28*'Tables 26a,b-MasterInputs'!$I66</f>
        <v>-2529.2973138124626</v>
      </c>
      <c r="AP28" s="85">
        <f t="shared" si="17"/>
        <v>644349.81107812165</v>
      </c>
      <c r="AQ28" s="85">
        <f>-AP28*'Tables 26a,b-MasterInputs'!$J66</f>
        <v>-25773.992443124866</v>
      </c>
      <c r="AR28" s="299">
        <f t="shared" si="18"/>
        <v>618575.81863499677</v>
      </c>
      <c r="AS28" s="301">
        <f>IFERROR(AR28/'Table 12-IUL Census'!$G22,0)</f>
        <v>15.316390361223746</v>
      </c>
      <c r="AT28" s="88">
        <f>'Table 12-IUL Census'!$F22*(AR27/($AR27+BH27))</f>
        <v>819.63646476541635</v>
      </c>
      <c r="AU28" s="89">
        <f>'Tables 26a,b-MasterInputs'!$H66</f>
        <v>0</v>
      </c>
      <c r="AV28" s="270">
        <f t="shared" si="19"/>
        <v>0</v>
      </c>
      <c r="AW28" s="120"/>
      <c r="AX28" s="137">
        <v>11</v>
      </c>
      <c r="AY28" s="85">
        <v>0</v>
      </c>
      <c r="AZ28" s="300">
        <f>MAX('Table 7-11-IULHostVEDInputs'!F41*(BH27+AY28+BA28+BB28+BC28),0)</f>
        <v>0</v>
      </c>
      <c r="BA28" s="300">
        <f t="shared" si="45"/>
        <v>-73867.450541642058</v>
      </c>
      <c r="BB28" s="300">
        <f t="shared" si="46"/>
        <v>-4332.6180830125886</v>
      </c>
      <c r="BC28" s="300">
        <f t="shared" si="47"/>
        <v>0</v>
      </c>
      <c r="BD28" s="85">
        <f t="shared" si="33"/>
        <v>681209.72242537269</v>
      </c>
      <c r="BE28" s="85">
        <f>-BD28*'Tables 26a,b-MasterInputs'!$I66</f>
        <v>-2663.5300146832074</v>
      </c>
      <c r="BF28" s="85">
        <f t="shared" si="34"/>
        <v>678546.19241068943</v>
      </c>
      <c r="BG28" s="85">
        <f>-BF28*'Tables 26a,b-MasterInputs'!$J66</f>
        <v>-27141.847696427576</v>
      </c>
      <c r="BH28" s="270">
        <f t="shared" si="35"/>
        <v>651404.34471426182</v>
      </c>
      <c r="BI28" s="301">
        <f>IFERROR(BH28/'Table 12-IUL Census'!$G22,0)</f>
        <v>16.129248713047442</v>
      </c>
      <c r="BJ28" s="88">
        <f>'Table 12-IUL Census'!$F22*(BH27/($AR27+BH27))</f>
        <v>863.13550926160201</v>
      </c>
      <c r="BK28" s="89">
        <f>'Tables 26a,b-MasterInputs'!$H66</f>
        <v>0</v>
      </c>
      <c r="BL28" s="175">
        <f t="shared" si="20"/>
        <v>0</v>
      </c>
      <c r="BO28" s="137">
        <v>11</v>
      </c>
      <c r="BP28" s="85">
        <v>0</v>
      </c>
      <c r="BQ28" s="302">
        <f>MAX('Table 7-11-IULHostVEDInputs'!F41*(BY27+BP28+BR28+BS28+BT28),0)</f>
        <v>0</v>
      </c>
      <c r="BR28" s="304">
        <f>MAX(-'Tables 26a,b-MasterInputs'!$K66*('Table 12-IUL Census'!$G21*1000/(1+'Tables 26a,b-MasterInputs'!$E41)-(BY27+BP28+BS28+BT28)),-BY27-BS28)*IF(BU27=0,0,1)</f>
        <v>-138600.70353745634</v>
      </c>
      <c r="BS28" s="304">
        <f>-'Tables 26a,b-MasterInputs'!$G66*'Table 12-IUL Census'!$D21*IF(BU27=0,0,1)</f>
        <v>-8446.8871990835069</v>
      </c>
      <c r="BT28" s="304">
        <f>-'Tables 26a,b-MasterInputs'!$F66*BP28</f>
        <v>0</v>
      </c>
      <c r="BU28" s="85">
        <f t="shared" si="21"/>
        <v>2826514.2971567232</v>
      </c>
      <c r="BV28" s="85">
        <f>-BU28*'Tables 26a,b-MasterInputs'!$I66</f>
        <v>-11051.670901882788</v>
      </c>
      <c r="BW28" s="85">
        <f t="shared" si="22"/>
        <v>2815462.6262548403</v>
      </c>
      <c r="BX28" s="85">
        <f>-BW28*'Tables 26a,b-MasterInputs'!$J66</f>
        <v>-112618.50505019362</v>
      </c>
      <c r="BY28" s="299">
        <f t="shared" si="23"/>
        <v>2702844.1212046468</v>
      </c>
      <c r="BZ28" s="107">
        <f>IFERROR(BY28/'Table 12-IUL Census'!$G22,0)</f>
        <v>66.92440020895279</v>
      </c>
      <c r="CA28" s="88">
        <f>'Table 12-IUL Census'!$F22</f>
        <v>1682.7719740270184</v>
      </c>
      <c r="CB28" s="89">
        <f>'Tables 26a,b-MasterInputs'!$H66</f>
        <v>0</v>
      </c>
      <c r="CC28" s="175">
        <f t="shared" si="24"/>
        <v>0</v>
      </c>
      <c r="CD28" s="303">
        <f t="shared" ca="1" si="25"/>
        <v>0</v>
      </c>
      <c r="CE28" s="137">
        <v>11</v>
      </c>
      <c r="CF28" s="85">
        <v>0</v>
      </c>
      <c r="CG28" s="302">
        <f>MAX('Table 7-11-IULHostVEDInputs'!F41*(CO27+CF28+CH28+CI28+CJ28),0)</f>
        <v>0</v>
      </c>
      <c r="CH28" s="300">
        <f t="shared" si="49"/>
        <v>-44102.140975729082</v>
      </c>
      <c r="CI28" s="300">
        <f t="shared" si="50"/>
        <v>-2687.7627642011821</v>
      </c>
      <c r="CJ28" s="300">
        <f t="shared" si="48"/>
        <v>0</v>
      </c>
      <c r="CK28" s="85">
        <f t="shared" si="26"/>
        <v>899384.55449060525</v>
      </c>
      <c r="CL28" s="85">
        <f>-CK28*'Tables 26a,b-MasterInputs'!$I66</f>
        <v>-3516.5936080582669</v>
      </c>
      <c r="CM28" s="85">
        <f t="shared" si="27"/>
        <v>895867.96088254696</v>
      </c>
      <c r="CN28" s="85">
        <f>-CM28*'Tables 26a,b-MasterInputs'!$J66</f>
        <v>-35834.718435301882</v>
      </c>
      <c r="CO28" s="299">
        <f t="shared" si="28"/>
        <v>860033.24244724505</v>
      </c>
      <c r="CP28" s="301">
        <f>IFERROR(CO28/'Table 12-IUL Census'!$G22,0)</f>
        <v>21.295053036536096</v>
      </c>
      <c r="CQ28" s="88">
        <f>'Table 12-IUL Census'!$F22*(CO27/(CO27+DE27+DU27))</f>
        <v>535.4507223586312</v>
      </c>
      <c r="CR28" s="89">
        <f>'Tables 26a,b-MasterInputs'!$H66</f>
        <v>0</v>
      </c>
      <c r="CS28" s="270">
        <f t="shared" si="29"/>
        <v>0</v>
      </c>
      <c r="CU28" s="137">
        <v>11</v>
      </c>
      <c r="CV28" s="85">
        <v>0</v>
      </c>
      <c r="CW28" s="302">
        <f>MAX('Table 7-11-IULHostVEDInputs'!F41*(DE27+CV28+CX28+CY28+CZ28),0)</f>
        <v>0</v>
      </c>
      <c r="CX28" s="300">
        <f t="shared" si="51"/>
        <v>-46442.692031164785</v>
      </c>
      <c r="CY28" s="300">
        <f t="shared" si="52"/>
        <v>-2830.4054077402775</v>
      </c>
      <c r="CZ28" s="300">
        <v>0</v>
      </c>
      <c r="DA28" s="85">
        <f t="shared" si="36"/>
        <v>947115.92130597227</v>
      </c>
      <c r="DB28" s="85">
        <f>-DA28*'Tables 26a,b-MasterInputs'!$I66</f>
        <v>-3703.2232523063517</v>
      </c>
      <c r="DC28" s="85">
        <f t="shared" si="37"/>
        <v>943412.69805366592</v>
      </c>
      <c r="DD28" s="85">
        <f>-DC28*'Tables 26a,b-MasterInputs'!$J66</f>
        <v>-37736.507922146637</v>
      </c>
      <c r="DE28" s="270">
        <f t="shared" si="38"/>
        <v>905676.19013151934</v>
      </c>
      <c r="DF28" s="301">
        <f>IFERROR(DE28/'Table 12-IUL Census'!$G22,0)</f>
        <v>22.425205853553614</v>
      </c>
      <c r="DG28" s="88">
        <f>'Table 12-IUL Census'!$F22*(DE27/(CO27+DE27+DU27))</f>
        <v>563.86770451920268</v>
      </c>
      <c r="DH28" s="89">
        <f>'Tables 26a,b-MasterInputs'!$H66</f>
        <v>0</v>
      </c>
      <c r="DI28" s="175">
        <f t="shared" si="30"/>
        <v>0</v>
      </c>
      <c r="DK28" s="137">
        <v>11</v>
      </c>
      <c r="DL28" s="85">
        <v>0</v>
      </c>
      <c r="DM28" s="302">
        <f>MAX('Table 7-11-IULHostVEDInputs'!F41*(DU27+DL28+DN28+DO28+DP28),0)</f>
        <v>0</v>
      </c>
      <c r="DN28" s="300">
        <f t="shared" si="53"/>
        <v>-48055.870530562468</v>
      </c>
      <c r="DO28" s="300">
        <f t="shared" si="54"/>
        <v>-2928.7190271420473</v>
      </c>
      <c r="DP28" s="300">
        <v>0</v>
      </c>
      <c r="DQ28" s="85">
        <f t="shared" si="39"/>
        <v>980013.82136014581</v>
      </c>
      <c r="DR28" s="85">
        <f>-DQ28*'Tables 26a,b-MasterInputs'!$I66</f>
        <v>-3831.8540415181706</v>
      </c>
      <c r="DS28" s="85">
        <f t="shared" si="40"/>
        <v>976181.96731862763</v>
      </c>
      <c r="DT28" s="85">
        <f>-DS28*'Tables 26a,b-MasterInputs'!$J66</f>
        <v>-39047.278692745109</v>
      </c>
      <c r="DU28" s="270">
        <f t="shared" si="41"/>
        <v>937134.6886258825</v>
      </c>
      <c r="DV28" s="301">
        <f>IFERROR(DU28/'Table 12-IUL Census'!$G22,0)</f>
        <v>23.20414131886308</v>
      </c>
      <c r="DW28" s="88">
        <f>'Table 12-IUL Census'!$F22*(DU27/(CO27+DE27+DU27))</f>
        <v>583.45354714918449</v>
      </c>
      <c r="DX28" s="89">
        <f>'Tables 26a,b-MasterInputs'!$H66</f>
        <v>0</v>
      </c>
      <c r="DY28" s="175">
        <f t="shared" si="31"/>
        <v>0</v>
      </c>
      <c r="EJ28" s="88"/>
      <c r="EK28" s="88"/>
      <c r="EL28" s="88"/>
      <c r="EM28" s="88"/>
      <c r="EN28" s="88"/>
      <c r="EO28" s="85"/>
      <c r="EP28" s="85"/>
      <c r="EQ28" s="85"/>
    </row>
    <row r="29" spans="1:147" x14ac:dyDescent="0.25">
      <c r="A29" s="137">
        <v>12</v>
      </c>
      <c r="B29" s="85">
        <v>0</v>
      </c>
      <c r="C29" s="174">
        <f>MAX('Table 7-11-IULHostVEDInputs'!F42*(K28+B29+D29+E29+F29),0)</f>
        <v>0</v>
      </c>
      <c r="D29" s="174">
        <f>MAX(-'Tables 26a,b-MasterInputs'!$K67*('Table 12-IUL Census'!$G22*1000/(1+'Tables 26a,b-MasterInputs'!$E42)-(K28+B29+E29+F29)),-K28-E29)*IF(G28=0,0,1)</f>
        <v>0</v>
      </c>
      <c r="E29" s="174">
        <f>-'Tables 26a,b-MasterInputs'!$G67*'Table 12-IUL Census'!D22*IF(G28=0,0,1)</f>
        <v>0</v>
      </c>
      <c r="F29" s="174">
        <f>-'Tables 26a,b-MasterInputs'!$F67*B29</f>
        <v>0</v>
      </c>
      <c r="G29" s="85">
        <f>(B29+F29)+C29+D29+E29+K28</f>
        <v>0</v>
      </c>
      <c r="H29" s="85">
        <f>-G29*'Tables 26a,b-MasterInputs'!$I67</f>
        <v>0</v>
      </c>
      <c r="I29" s="85">
        <f t="shared" si="9"/>
        <v>0</v>
      </c>
      <c r="J29" s="85">
        <f>-I29*'Tables 26a,b-MasterInputs'!$J67</f>
        <v>0</v>
      </c>
      <c r="K29" s="299">
        <f t="shared" si="10"/>
        <v>0</v>
      </c>
      <c r="L29" s="107">
        <f>IFERROR(K29/'Table 12-IUL Census'!$G23,0)</f>
        <v>0</v>
      </c>
      <c r="M29" s="88">
        <f>'Table 12-IUL Census'!F23</f>
        <v>1608.0461286395848</v>
      </c>
      <c r="N29" s="89">
        <f>'Tables 26a,b-MasterInputs'!$H67</f>
        <v>0</v>
      </c>
      <c r="O29" s="175">
        <f t="shared" si="11"/>
        <v>0</v>
      </c>
      <c r="R29" s="137">
        <v>12</v>
      </c>
      <c r="S29" s="85">
        <v>0</v>
      </c>
      <c r="T29" s="300">
        <f>MAX('Table 7-11-IULHostVEDInputs'!F42*(AB28+S29+U29+V29+W29),0)</f>
        <v>0</v>
      </c>
      <c r="U29" s="174">
        <f>MAX(-'Tables 26a,b-MasterInputs'!$K67*('Table 12-IUL Census'!$G22*1000/(1+'Tables 26a,b-MasterInputs'!$E42)-(AB28+S29+V29+W29)),-AB28-V29)*IF(X28=0,0,1)</f>
        <v>-162281.27404438326</v>
      </c>
      <c r="V29" s="174">
        <f>-'Tables 26a,b-MasterInputs'!$G67*'Table 12-IUL Census'!$D22*IF(X28=0,0,1)</f>
        <v>-8077.3054753296874</v>
      </c>
      <c r="W29" s="174">
        <f>-'Tables 26a,b-MasterInputs'!$F67*S29</f>
        <v>0</v>
      </c>
      <c r="X29" s="85">
        <f t="shared" si="12"/>
        <v>1099621.5838295454</v>
      </c>
      <c r="Y29" s="85">
        <f>-X29*'Tables 26a,b-MasterInputs'!$I67</f>
        <v>-5047.263069777614</v>
      </c>
      <c r="Z29" s="85">
        <f t="shared" si="13"/>
        <v>1094574.3207597679</v>
      </c>
      <c r="AA29" s="85">
        <f>-Z29*'Tables 26a,b-MasterInputs'!$J67</f>
        <v>-43782.972830390718</v>
      </c>
      <c r="AB29" s="299">
        <f t="shared" si="14"/>
        <v>1050791.3479293771</v>
      </c>
      <c r="AC29" s="107">
        <f>IFERROR(AB29/'Table 12-IUL Census'!G23,0)</f>
        <v>27.227435861825278</v>
      </c>
      <c r="AD29" s="88">
        <f>'Table 12-IUL Census'!F23</f>
        <v>1608.0461286395848</v>
      </c>
      <c r="AE29" s="89">
        <f>'Tables 26a,b-MasterInputs'!$H67</f>
        <v>0</v>
      </c>
      <c r="AF29" s="175">
        <f t="shared" si="15"/>
        <v>0</v>
      </c>
      <c r="AG29" s="303">
        <f t="shared" ca="1" si="32"/>
        <v>0</v>
      </c>
      <c r="AH29" s="137">
        <v>12</v>
      </c>
      <c r="AI29" s="85">
        <v>0</v>
      </c>
      <c r="AJ29" s="300">
        <f>MAX('Table 7-11-IULHostVEDInputs'!F42*(AR28+AI29+AK29+AL29+AM29),0)</f>
        <v>0</v>
      </c>
      <c r="AK29" s="300">
        <f t="shared" si="42"/>
        <v>-79043.181018196832</v>
      </c>
      <c r="AL29" s="300">
        <f t="shared" si="43"/>
        <v>-3934.2550308739983</v>
      </c>
      <c r="AM29" s="300">
        <f t="shared" si="44"/>
        <v>0</v>
      </c>
      <c r="AN29" s="85">
        <f t="shared" si="16"/>
        <v>535598.38258592598</v>
      </c>
      <c r="AO29" s="85">
        <f>-AN29*'Tables 26a,b-MasterInputs'!$I67</f>
        <v>-2458.3965760694005</v>
      </c>
      <c r="AP29" s="85">
        <f t="shared" si="17"/>
        <v>533139.98600985657</v>
      </c>
      <c r="AQ29" s="85">
        <f>-AP29*'Tables 26a,b-MasterInputs'!$J67</f>
        <v>-21325.599440394264</v>
      </c>
      <c r="AR29" s="299">
        <f t="shared" si="18"/>
        <v>511814.38656946231</v>
      </c>
      <c r="AS29" s="301">
        <f>IFERROR(AR29/'Table 12-IUL Census'!$G23,0)</f>
        <v>13.261808265684419</v>
      </c>
      <c r="AT29" s="88">
        <f>'Table 12-IUL Census'!$F23*(AR28/($AR28+BH28))</f>
        <v>783.23936005645737</v>
      </c>
      <c r="AU29" s="89">
        <f>'Tables 26a,b-MasterInputs'!$H67</f>
        <v>0</v>
      </c>
      <c r="AV29" s="270">
        <f t="shared" si="19"/>
        <v>0</v>
      </c>
      <c r="AW29" s="120"/>
      <c r="AX29" s="137">
        <v>12</v>
      </c>
      <c r="AY29" s="85">
        <v>0</v>
      </c>
      <c r="AZ29" s="300">
        <f>MAX('Table 7-11-IULHostVEDInputs'!F42*(BH28+AY29+BA29+BB29+BC29),0)</f>
        <v>0</v>
      </c>
      <c r="BA29" s="300">
        <f t="shared" si="45"/>
        <v>-83238.093026186427</v>
      </c>
      <c r="BB29" s="300">
        <f t="shared" si="46"/>
        <v>-4143.0504444556882</v>
      </c>
      <c r="BC29" s="300">
        <f t="shared" si="47"/>
        <v>0</v>
      </c>
      <c r="BD29" s="85">
        <f t="shared" si="33"/>
        <v>564023.20124361967</v>
      </c>
      <c r="BE29" s="85">
        <f>-BD29*'Tables 26a,b-MasterInputs'!$I67</f>
        <v>-2588.8664937082144</v>
      </c>
      <c r="BF29" s="85">
        <f t="shared" si="34"/>
        <v>561434.33474991145</v>
      </c>
      <c r="BG29" s="85">
        <f>-BF29*'Tables 26a,b-MasterInputs'!$J67</f>
        <v>-22457.373389996457</v>
      </c>
      <c r="BH29" s="270">
        <f t="shared" si="35"/>
        <v>538976.96135991497</v>
      </c>
      <c r="BI29" s="301">
        <f>IFERROR(BH29/'Table 12-IUL Census'!$G23,0)</f>
        <v>13.965627596140866</v>
      </c>
      <c r="BJ29" s="88">
        <f>'Table 12-IUL Census'!$F23*(BH28/($AR28+BH28))</f>
        <v>824.80676858312734</v>
      </c>
      <c r="BK29" s="89">
        <f>'Tables 26a,b-MasterInputs'!$H67</f>
        <v>0</v>
      </c>
      <c r="BL29" s="175">
        <f t="shared" si="20"/>
        <v>0</v>
      </c>
      <c r="BO29" s="137">
        <v>12</v>
      </c>
      <c r="BP29" s="85">
        <v>0</v>
      </c>
      <c r="BQ29" s="302">
        <f>MAX('Table 7-11-IULHostVEDInputs'!F42*(BY28+BP29+BR29+BS29+BT29),0)</f>
        <v>0</v>
      </c>
      <c r="BR29" s="304">
        <f>MAX(-'Tables 26a,b-MasterInputs'!$K67*('Table 12-IUL Census'!$G22*1000/(1+'Tables 26a,b-MasterInputs'!$E42)-(BY28+BP29+BS29+BT29)),-BY28-BS29)*IF(BU28=0,0,1)</f>
        <v>-156184.53820418564</v>
      </c>
      <c r="BS29" s="304">
        <f>-'Tables 26a,b-MasterInputs'!$G67*'Table 12-IUL Census'!$D22*IF(BU28=0,0,1)</f>
        <v>-8077.3054753296874</v>
      </c>
      <c r="BT29" s="304">
        <f>-'Tables 26a,b-MasterInputs'!$F67*BP29</f>
        <v>0</v>
      </c>
      <c r="BU29" s="85">
        <f t="shared" si="21"/>
        <v>2538582.2775251316</v>
      </c>
      <c r="BV29" s="85">
        <f>-BU29*'Tables 26a,b-MasterInputs'!$I67</f>
        <v>-11652.092653840355</v>
      </c>
      <c r="BW29" s="85">
        <f t="shared" si="22"/>
        <v>2526930.1848712913</v>
      </c>
      <c r="BX29" s="85">
        <f>-BW29*'Tables 26a,b-MasterInputs'!$J67</f>
        <v>-101077.20739485165</v>
      </c>
      <c r="BY29" s="299">
        <f t="shared" si="23"/>
        <v>2425852.9774764394</v>
      </c>
      <c r="BZ29" s="107">
        <f>IFERROR(BY29/'Table 12-IUL Census'!$G23,0)</f>
        <v>62.857156641621671</v>
      </c>
      <c r="CA29" s="88">
        <f>'Table 12-IUL Census'!$F23</f>
        <v>1608.0461286395848</v>
      </c>
      <c r="CB29" s="89">
        <f>'Tables 26a,b-MasterInputs'!$H67</f>
        <v>0</v>
      </c>
      <c r="CC29" s="175">
        <f t="shared" si="24"/>
        <v>0</v>
      </c>
      <c r="CD29" s="303">
        <f t="shared" ca="1" si="25"/>
        <v>0</v>
      </c>
      <c r="CE29" s="137">
        <v>12</v>
      </c>
      <c r="CF29" s="85">
        <v>0</v>
      </c>
      <c r="CG29" s="302">
        <f>MAX('Table 7-11-IULHostVEDInputs'!F42*(CO28+CF29+CH29+CI29+CJ29),0)</f>
        <v>0</v>
      </c>
      <c r="CH29" s="300">
        <f t="shared" si="49"/>
        <v>-49697.240679941162</v>
      </c>
      <c r="CI29" s="300">
        <f t="shared" si="50"/>
        <v>-2570.1634673214294</v>
      </c>
      <c r="CJ29" s="300">
        <f t="shared" si="48"/>
        <v>0</v>
      </c>
      <c r="CK29" s="85">
        <f t="shared" si="26"/>
        <v>807765.83829998248</v>
      </c>
      <c r="CL29" s="85">
        <f>-CK29*'Tables 26a,b-MasterInputs'!$I67</f>
        <v>-3707.64519779692</v>
      </c>
      <c r="CM29" s="85">
        <f t="shared" si="27"/>
        <v>804058.19310218561</v>
      </c>
      <c r="CN29" s="85">
        <f>-CM29*'Tables 26a,b-MasterInputs'!$J67</f>
        <v>-32162.327724087427</v>
      </c>
      <c r="CO29" s="299">
        <f t="shared" si="28"/>
        <v>771895.86537809821</v>
      </c>
      <c r="CP29" s="301">
        <f>IFERROR(CO29/'Table 12-IUL Census'!$G23,0)</f>
        <v>20.000873825240905</v>
      </c>
      <c r="CQ29" s="88">
        <f>'Table 12-IUL Census'!$F23*(CO28/(CO28+DE28+DU28))</f>
        <v>511.67328340128478</v>
      </c>
      <c r="CR29" s="89">
        <f>'Tables 26a,b-MasterInputs'!$H67</f>
        <v>0</v>
      </c>
      <c r="CS29" s="270">
        <f t="shared" si="29"/>
        <v>0</v>
      </c>
      <c r="CU29" s="137">
        <v>12</v>
      </c>
      <c r="CV29" s="85">
        <v>0</v>
      </c>
      <c r="CW29" s="302">
        <f>MAX('Table 7-11-IULHostVEDInputs'!F42*(DE28+CV29+CX29+CY29+CZ29),0)</f>
        <v>0</v>
      </c>
      <c r="CX29" s="300">
        <f t="shared" si="51"/>
        <v>-52334.730075063562</v>
      </c>
      <c r="CY29" s="300">
        <f t="shared" si="52"/>
        <v>-2706.5649816921728</v>
      </c>
      <c r="CZ29" s="300">
        <v>0</v>
      </c>
      <c r="DA29" s="85">
        <f t="shared" si="36"/>
        <v>850634.89507476357</v>
      </c>
      <c r="DB29" s="85">
        <f>-DA29*'Tables 26a,b-MasterInputs'!$I67</f>
        <v>-3904.4141683931653</v>
      </c>
      <c r="DC29" s="85">
        <f t="shared" si="37"/>
        <v>846730.48090637045</v>
      </c>
      <c r="DD29" s="85">
        <f>-DC29*'Tables 26a,b-MasterInputs'!$J67</f>
        <v>-33869.219236254816</v>
      </c>
      <c r="DE29" s="270">
        <f t="shared" si="38"/>
        <v>812861.26167011564</v>
      </c>
      <c r="DF29" s="301">
        <f>IFERROR(DE29/'Table 12-IUL Census'!$G23,0)</f>
        <v>21.062343071531391</v>
      </c>
      <c r="DG29" s="88">
        <f>'Table 12-IUL Census'!$F23*(DE28/(CO28+DE28+DU28))</f>
        <v>538.82836968524123</v>
      </c>
      <c r="DH29" s="89">
        <f>'Tables 26a,b-MasterInputs'!$H67</f>
        <v>0</v>
      </c>
      <c r="DI29" s="175">
        <f t="shared" si="30"/>
        <v>0</v>
      </c>
      <c r="DK29" s="137">
        <v>12</v>
      </c>
      <c r="DL29" s="85">
        <v>0</v>
      </c>
      <c r="DM29" s="302">
        <f>MAX('Table 7-11-IULHostVEDInputs'!F42*(DU28+DL29+DN29+DO29+DP29),0)</f>
        <v>0</v>
      </c>
      <c r="DN29" s="300">
        <f t="shared" si="53"/>
        <v>-54152.567449180911</v>
      </c>
      <c r="DO29" s="300">
        <f t="shared" si="54"/>
        <v>-2800.5770263160853</v>
      </c>
      <c r="DP29" s="300">
        <v>0</v>
      </c>
      <c r="DQ29" s="85">
        <f t="shared" si="39"/>
        <v>880181.54415038554</v>
      </c>
      <c r="DR29" s="85">
        <f>-DQ29*'Tables 26a,b-MasterInputs'!$I67</f>
        <v>-4040.0332876502698</v>
      </c>
      <c r="DS29" s="85">
        <f t="shared" si="40"/>
        <v>876141.51086273522</v>
      </c>
      <c r="DT29" s="85">
        <f>-DS29*'Tables 26a,b-MasterInputs'!$J67</f>
        <v>-35045.660434509409</v>
      </c>
      <c r="DU29" s="270">
        <f t="shared" si="41"/>
        <v>841095.85042822582</v>
      </c>
      <c r="DV29" s="301">
        <f>IFERROR(DU29/'Table 12-IUL Census'!$G23,0)</f>
        <v>21.793939744849382</v>
      </c>
      <c r="DW29" s="88">
        <f>'Table 12-IUL Census'!$F23*(DU28/(CO28+DE28+DU28))</f>
        <v>557.54447555305887</v>
      </c>
      <c r="DX29" s="89">
        <f>'Tables 26a,b-MasterInputs'!$H67</f>
        <v>0</v>
      </c>
      <c r="DY29" s="175">
        <f t="shared" si="31"/>
        <v>0</v>
      </c>
      <c r="EJ29" s="88"/>
      <c r="EK29" s="88"/>
      <c r="EL29" s="88"/>
      <c r="EM29" s="88"/>
      <c r="EN29" s="88"/>
      <c r="EO29" s="85"/>
      <c r="EP29" s="85"/>
      <c r="EQ29" s="85"/>
    </row>
    <row r="30" spans="1:147" x14ac:dyDescent="0.25">
      <c r="A30" s="137">
        <v>13</v>
      </c>
      <c r="B30" s="85">
        <v>0</v>
      </c>
      <c r="C30" s="174">
        <f>MAX('Table 7-11-IULHostVEDInputs'!F43*(K29+B30+D30+E30+F30),0)</f>
        <v>0</v>
      </c>
      <c r="D30" s="174">
        <f>MAX(-'Tables 26a,b-MasterInputs'!$K68*('Table 12-IUL Census'!$G23*1000/(1+'Tables 26a,b-MasterInputs'!$E43)-(K29+B30+E30+F30)),-K29-E30)*IF(G29=0,0,1)</f>
        <v>0</v>
      </c>
      <c r="E30" s="174">
        <f>-'Tables 26a,b-MasterInputs'!$G68*'Table 12-IUL Census'!D23*IF(G29=0,0,1)</f>
        <v>0</v>
      </c>
      <c r="F30" s="174">
        <f>-'Tables 26a,b-MasterInputs'!$F68*B30</f>
        <v>0</v>
      </c>
      <c r="G30" s="85">
        <f t="shared" ref="G30:G37" si="55">MAX((B30+F30)+C30+D30+E30+K29,0)</f>
        <v>0</v>
      </c>
      <c r="H30" s="85">
        <f>-G30*'Tables 26a,b-MasterInputs'!$I68</f>
        <v>0</v>
      </c>
      <c r="I30" s="85">
        <f t="shared" si="9"/>
        <v>0</v>
      </c>
      <c r="J30" s="85">
        <f>-I30*'Tables 26a,b-MasterInputs'!$J68</f>
        <v>0</v>
      </c>
      <c r="K30" s="299">
        <f t="shared" si="10"/>
        <v>0</v>
      </c>
      <c r="L30" s="107">
        <f>IFERROR(K30/'Table 12-IUL Census'!$G24,0)</f>
        <v>0</v>
      </c>
      <c r="M30" s="88">
        <f>'Table 12-IUL Census'!F24</f>
        <v>1535.4190468488036</v>
      </c>
      <c r="N30" s="89">
        <f>'Tables 26a,b-MasterInputs'!$H68</f>
        <v>0</v>
      </c>
      <c r="O30" s="175">
        <f t="shared" si="11"/>
        <v>0</v>
      </c>
      <c r="R30" s="137">
        <v>13</v>
      </c>
      <c r="S30" s="85">
        <v>0</v>
      </c>
      <c r="T30" s="300">
        <f>MAX('Table 7-11-IULHostVEDInputs'!F43*(AB29+S30+U30+V30+W30),0)</f>
        <v>0</v>
      </c>
      <c r="U30" s="174">
        <f>MAX(-'Tables 26a,b-MasterInputs'!$K68*('Table 12-IUL Census'!$G23*1000/(1+'Tables 26a,b-MasterInputs'!$E43)-(AB29+S30+V30+W30)),-AB29-V30)*IF(X29=0,0,1)</f>
        <v>-182577.2999944223</v>
      </c>
      <c r="V30" s="174">
        <f>-'Tables 26a,b-MasterInputs'!$G68*'Table 12-IUL Census'!$D23*IF(X29=0,0,1)</f>
        <v>-7718.6214174700071</v>
      </c>
      <c r="W30" s="174">
        <f>-'Tables 26a,b-MasterInputs'!$F68*S30</f>
        <v>0</v>
      </c>
      <c r="X30" s="85">
        <f t="shared" si="12"/>
        <v>860495.42651748483</v>
      </c>
      <c r="Y30" s="85">
        <f>-X30*'Tables 26a,b-MasterInputs'!$I68</f>
        <v>-4629.4653946640683</v>
      </c>
      <c r="Z30" s="85">
        <f t="shared" si="13"/>
        <v>855865.96112282074</v>
      </c>
      <c r="AA30" s="85">
        <f>-Z30*'Tables 26a,b-MasterInputs'!$J68</f>
        <v>-34234.638444912831</v>
      </c>
      <c r="AB30" s="299">
        <f t="shared" si="14"/>
        <v>821631.32267790788</v>
      </c>
      <c r="AC30" s="107">
        <f>IFERROR(AB30/'Table 12-IUL Census'!G24,0)</f>
        <v>22.296609199406401</v>
      </c>
      <c r="AD30" s="88">
        <f>'Table 12-IUL Census'!F24</f>
        <v>1535.4190468488036</v>
      </c>
      <c r="AE30" s="89">
        <f>'Tables 26a,b-MasterInputs'!$H68</f>
        <v>0</v>
      </c>
      <c r="AF30" s="175">
        <f t="shared" si="15"/>
        <v>0</v>
      </c>
      <c r="AG30" s="303">
        <f t="shared" ca="1" si="32"/>
        <v>0</v>
      </c>
      <c r="AH30" s="137">
        <v>13</v>
      </c>
      <c r="AI30" s="85">
        <v>0</v>
      </c>
      <c r="AJ30" s="300">
        <f>MAX('Table 7-11-IULHostVEDInputs'!F43*(AR29+AI30+AK30+AL30+AM30),0)</f>
        <v>0</v>
      </c>
      <c r="AK30" s="300">
        <f t="shared" si="42"/>
        <v>-88928.871542663619</v>
      </c>
      <c r="AL30" s="300">
        <f t="shared" si="43"/>
        <v>-3759.5489282709955</v>
      </c>
      <c r="AM30" s="300">
        <f t="shared" si="44"/>
        <v>0</v>
      </c>
      <c r="AN30" s="85">
        <f t="shared" si="16"/>
        <v>419125.96609852772</v>
      </c>
      <c r="AO30" s="85">
        <f>-AN30*'Tables 26a,b-MasterInputs'!$I68</f>
        <v>-2254.8976976100794</v>
      </c>
      <c r="AP30" s="85">
        <f t="shared" si="17"/>
        <v>416871.06840091763</v>
      </c>
      <c r="AQ30" s="85">
        <f>-AP30*'Tables 26a,b-MasterInputs'!$J68</f>
        <v>-16674.842736036706</v>
      </c>
      <c r="AR30" s="299">
        <f t="shared" si="18"/>
        <v>400196.22566488094</v>
      </c>
      <c r="AS30" s="301">
        <f>IFERROR(AR30/'Table 12-IUL Census'!$G24,0)</f>
        <v>10.860124973868926</v>
      </c>
      <c r="AT30" s="88">
        <f>'Table 12-IUL Census'!$F24*(AR29/($AR29+BH29))</f>
        <v>747.86451100737952</v>
      </c>
      <c r="AU30" s="89">
        <f>'Tables 26a,b-MasterInputs'!$H68</f>
        <v>0</v>
      </c>
      <c r="AV30" s="270">
        <f t="shared" si="19"/>
        <v>0</v>
      </c>
      <c r="AW30" s="120"/>
      <c r="AX30" s="137">
        <v>13</v>
      </c>
      <c r="AY30" s="85">
        <v>0</v>
      </c>
      <c r="AZ30" s="300">
        <f>MAX('Table 7-11-IULHostVEDInputs'!F43*(BH29+AY30+BA30+BB30+BC30),0)</f>
        <v>0</v>
      </c>
      <c r="BA30" s="300">
        <f t="shared" si="45"/>
        <v>-93648.428451758678</v>
      </c>
      <c r="BB30" s="300">
        <f t="shared" si="46"/>
        <v>-3959.0724891990117</v>
      </c>
      <c r="BC30" s="300">
        <f t="shared" si="47"/>
        <v>0</v>
      </c>
      <c r="BD30" s="85">
        <f t="shared" si="33"/>
        <v>441369.46041895729</v>
      </c>
      <c r="BE30" s="85">
        <f>-BD30*'Tables 26a,b-MasterInputs'!$I68</f>
        <v>-2374.5676970539903</v>
      </c>
      <c r="BF30" s="85">
        <f t="shared" si="34"/>
        <v>438994.89272190328</v>
      </c>
      <c r="BG30" s="85">
        <f>-BF30*'Tables 26a,b-MasterInputs'!$J68</f>
        <v>-17559.795708876132</v>
      </c>
      <c r="BH30" s="270">
        <f t="shared" si="35"/>
        <v>421435.09701302717</v>
      </c>
      <c r="BI30" s="301">
        <f>IFERROR(BH30/'Table 12-IUL Census'!$G24,0)</f>
        <v>11.436484225537484</v>
      </c>
      <c r="BJ30" s="88">
        <f>'Table 12-IUL Census'!$F24*(BH29/($AR29+BH29))</f>
        <v>787.55453584142413</v>
      </c>
      <c r="BK30" s="89">
        <f>'Tables 26a,b-MasterInputs'!$H68</f>
        <v>0</v>
      </c>
      <c r="BL30" s="175">
        <f t="shared" si="20"/>
        <v>0</v>
      </c>
      <c r="BO30" s="137">
        <v>13</v>
      </c>
      <c r="BP30" s="85">
        <v>0</v>
      </c>
      <c r="BQ30" s="302">
        <f>MAX('Table 7-11-IULHostVEDInputs'!F43*(BY29+BP30+BR30+BS30+BT30),0)</f>
        <v>0</v>
      </c>
      <c r="BR30" s="304">
        <f>MAX(-'Tables 26a,b-MasterInputs'!$K68*('Table 12-IUL Census'!$G23*1000/(1+'Tables 26a,b-MasterInputs'!$E43)-(BY29+BP30+BS30+BT30)),-BY29-BS30)*IF(BU29=0,0,1)</f>
        <v>-175719.51013184743</v>
      </c>
      <c r="BS30" s="304">
        <f>-'Tables 26a,b-MasterInputs'!$G68*'Table 12-IUL Census'!$D23*IF(BU29=0,0,1)</f>
        <v>-7718.6214174700071</v>
      </c>
      <c r="BT30" s="304">
        <f>-'Tables 26a,b-MasterInputs'!$F68*BP30</f>
        <v>0</v>
      </c>
      <c r="BU30" s="85">
        <f t="shared" si="21"/>
        <v>2242414.845927122</v>
      </c>
      <c r="BV30" s="85">
        <f>-BU30*'Tables 26a,b-MasterInputs'!$I68</f>
        <v>-12064.191871087916</v>
      </c>
      <c r="BW30" s="85">
        <f t="shared" si="22"/>
        <v>2230350.6540560341</v>
      </c>
      <c r="BX30" s="85">
        <f>-BW30*'Tables 26a,b-MasterInputs'!$J68</f>
        <v>-89214.026162241367</v>
      </c>
      <c r="BY30" s="299">
        <f t="shared" si="23"/>
        <v>2141136.6278937925</v>
      </c>
      <c r="BZ30" s="107">
        <f>IFERROR(BY30/'Table 12-IUL Census'!$G24,0)</f>
        <v>58.104024660459039</v>
      </c>
      <c r="CA30" s="88">
        <f>'Table 12-IUL Census'!$F24</f>
        <v>1535.4190468488036</v>
      </c>
      <c r="CB30" s="89">
        <f>'Tables 26a,b-MasterInputs'!$H68</f>
        <v>0</v>
      </c>
      <c r="CC30" s="175">
        <f t="shared" si="24"/>
        <v>0</v>
      </c>
      <c r="CD30" s="303">
        <f t="shared" ca="1" si="25"/>
        <v>0</v>
      </c>
      <c r="CE30" s="137">
        <v>13</v>
      </c>
      <c r="CF30" s="85">
        <v>0</v>
      </c>
      <c r="CG30" s="302">
        <f>MAX('Table 7-11-IULHostVEDInputs'!F43*(CO29+CF30+CH30+CI30+CJ30),0)</f>
        <v>0</v>
      </c>
      <c r="CH30" s="300">
        <f t="shared" si="49"/>
        <v>-55913.18377346106</v>
      </c>
      <c r="CI30" s="300">
        <f t="shared" si="50"/>
        <v>-2456.0317603261669</v>
      </c>
      <c r="CJ30" s="300">
        <f t="shared" si="48"/>
        <v>0</v>
      </c>
      <c r="CK30" s="85">
        <f t="shared" si="26"/>
        <v>713526.64984431094</v>
      </c>
      <c r="CL30" s="85">
        <f>-CK30*'Tables 26a,b-MasterInputs'!$I68</f>
        <v>-3838.7733761623931</v>
      </c>
      <c r="CM30" s="85">
        <f t="shared" si="27"/>
        <v>709687.87646814855</v>
      </c>
      <c r="CN30" s="85">
        <f>-CM30*'Tables 26a,b-MasterInputs'!$J68</f>
        <v>-28387.515058725941</v>
      </c>
      <c r="CO30" s="299">
        <f t="shared" si="28"/>
        <v>681300.36140942259</v>
      </c>
      <c r="CP30" s="301">
        <f>IFERROR(CO30/'Table 12-IUL Census'!$G24,0)</f>
        <v>18.48844790416446</v>
      </c>
      <c r="CQ30" s="88">
        <f>'Table 12-IUL Census'!$F24*(CO29/(CO29+DE29+DU29))</f>
        <v>488.56366189112242</v>
      </c>
      <c r="CR30" s="89">
        <f>'Tables 26a,b-MasterInputs'!$H68</f>
        <v>0</v>
      </c>
      <c r="CS30" s="270">
        <f t="shared" si="29"/>
        <v>0</v>
      </c>
      <c r="CU30" s="137">
        <v>13</v>
      </c>
      <c r="CV30" s="85">
        <v>0</v>
      </c>
      <c r="CW30" s="302">
        <f>MAX('Table 7-11-IULHostVEDInputs'!F43*(DE29+CV30+CX30+CY30+CZ30),0)</f>
        <v>0</v>
      </c>
      <c r="CX30" s="300">
        <f t="shared" si="51"/>
        <v>-58880.560376918147</v>
      </c>
      <c r="CY30" s="300">
        <f t="shared" si="52"/>
        <v>-2586.3761744891572</v>
      </c>
      <c r="CZ30" s="300">
        <v>0</v>
      </c>
      <c r="DA30" s="85">
        <f t="shared" si="36"/>
        <v>751394.32511870831</v>
      </c>
      <c r="DB30" s="85">
        <f>-DA30*'Tables 26a,b-MasterInputs'!$I68</f>
        <v>-4042.5014691386509</v>
      </c>
      <c r="DC30" s="85">
        <f t="shared" si="37"/>
        <v>747351.82364956965</v>
      </c>
      <c r="DD30" s="85">
        <f>-DC30*'Tables 26a,b-MasterInputs'!$J68</f>
        <v>-29894.072945982785</v>
      </c>
      <c r="DE30" s="270">
        <f t="shared" si="38"/>
        <v>717457.75070358685</v>
      </c>
      <c r="DF30" s="301">
        <f>IFERROR(DE30/'Table 12-IUL Census'!$G24,0)</f>
        <v>19.46965097725959</v>
      </c>
      <c r="DG30" s="88">
        <f>'Table 12-IUL Census'!$F24*(DE29/(CO29+DE29+DU29))</f>
        <v>514.49229413408113</v>
      </c>
      <c r="DH30" s="89">
        <f>'Tables 26a,b-MasterInputs'!$H68</f>
        <v>0</v>
      </c>
      <c r="DI30" s="175">
        <f t="shared" si="30"/>
        <v>0</v>
      </c>
      <c r="DK30" s="137">
        <v>13</v>
      </c>
      <c r="DL30" s="85">
        <v>0</v>
      </c>
      <c r="DM30" s="302">
        <f>MAX('Table 7-11-IULHostVEDInputs'!F43*(DU29+DL30+DN30+DO30+DP30),0)</f>
        <v>0</v>
      </c>
      <c r="DN30" s="300">
        <f t="shared" si="53"/>
        <v>-60925.765981468212</v>
      </c>
      <c r="DO30" s="300">
        <f t="shared" si="54"/>
        <v>-2676.2134826546821</v>
      </c>
      <c r="DP30" s="300">
        <v>0</v>
      </c>
      <c r="DQ30" s="85">
        <f t="shared" si="39"/>
        <v>777493.87096410291</v>
      </c>
      <c r="DR30" s="85">
        <f>-DQ30*'Tables 26a,b-MasterInputs'!$I68</f>
        <v>-4182.9170257868736</v>
      </c>
      <c r="DS30" s="85">
        <f t="shared" si="40"/>
        <v>773310.95393831609</v>
      </c>
      <c r="DT30" s="85">
        <f>-DS30*'Tables 26a,b-MasterInputs'!$J68</f>
        <v>-30932.438157532644</v>
      </c>
      <c r="DU30" s="270">
        <f t="shared" si="41"/>
        <v>742378.51578078349</v>
      </c>
      <c r="DV30" s="301">
        <f>IFERROR(DU30/'Table 12-IUL Census'!$G24,0)</f>
        <v>20.145925779035</v>
      </c>
      <c r="DW30" s="88">
        <f>'Table 12-IUL Census'!$F24*(DU29/(CO29+DE29+DU29))</f>
        <v>532.36309082359992</v>
      </c>
      <c r="DX30" s="89">
        <f>'Tables 26a,b-MasterInputs'!$H68</f>
        <v>0</v>
      </c>
      <c r="DY30" s="175">
        <f t="shared" si="31"/>
        <v>0</v>
      </c>
      <c r="EJ30" s="88"/>
      <c r="EK30" s="88"/>
      <c r="EL30" s="88"/>
      <c r="EM30" s="88"/>
      <c r="EN30" s="88"/>
      <c r="EO30" s="85"/>
      <c r="EP30" s="85"/>
      <c r="EQ30" s="85"/>
    </row>
    <row r="31" spans="1:147" x14ac:dyDescent="0.25">
      <c r="A31" s="137">
        <v>14</v>
      </c>
      <c r="B31" s="85">
        <v>0</v>
      </c>
      <c r="C31" s="174">
        <f>MAX('Table 7-11-IULHostVEDInputs'!F44*(K30+B31+D31+E31+F31),0)</f>
        <v>0</v>
      </c>
      <c r="D31" s="174">
        <f>MAX(-'Tables 26a,b-MasterInputs'!$K69*('Table 12-IUL Census'!$G24*1000/(1+'Tables 26a,b-MasterInputs'!$E44)-(K30+B31+E31+F31)),-K30-E31)*IF(G30=0,0,1)</f>
        <v>0</v>
      </c>
      <c r="E31" s="174">
        <f>-'Tables 26a,b-MasterInputs'!$G69*'Table 12-IUL Census'!D24*IF(G30=0,0,1)</f>
        <v>0</v>
      </c>
      <c r="F31" s="174">
        <f>-'Tables 26a,b-MasterInputs'!$F69*B31</f>
        <v>0</v>
      </c>
      <c r="G31" s="85">
        <f t="shared" si="55"/>
        <v>0</v>
      </c>
      <c r="H31" s="85">
        <f>-G31*'Tables 26a,b-MasterInputs'!$I69</f>
        <v>0</v>
      </c>
      <c r="I31" s="85">
        <f t="shared" si="9"/>
        <v>0</v>
      </c>
      <c r="J31" s="85">
        <f>-I31*'Tables 26a,b-MasterInputs'!$J69</f>
        <v>0</v>
      </c>
      <c r="K31" s="299">
        <f t="shared" si="10"/>
        <v>0</v>
      </c>
      <c r="L31" s="107">
        <f>IFERROR(K31/'Table 12-IUL Census'!$G25,0)</f>
        <v>0</v>
      </c>
      <c r="M31" s="88">
        <f>'Table 12-IUL Census'!F25</f>
        <v>1464.9224308994064</v>
      </c>
      <c r="N31" s="89">
        <f>'Tables 26a,b-MasterInputs'!$H69</f>
        <v>0</v>
      </c>
      <c r="O31" s="175">
        <f t="shared" si="11"/>
        <v>0</v>
      </c>
      <c r="R31" s="137">
        <v>14</v>
      </c>
      <c r="S31" s="85">
        <v>0</v>
      </c>
      <c r="T31" s="300">
        <f>MAX('Table 7-11-IULHostVEDInputs'!F44*(AB30+S31+U31+V31+W31),0)</f>
        <v>0</v>
      </c>
      <c r="U31" s="174">
        <f>MAX(-'Tables 26a,b-MasterInputs'!$K69*('Table 12-IUL Census'!$G24*1000/(1+'Tables 26a,b-MasterInputs'!$E44)-(AB30+S31+V31+W31)),-AB30-V31)*IF(X30=0,0,1)</f>
        <v>-200643.59339638386</v>
      </c>
      <c r="V31" s="174">
        <f>-'Tables 26a,b-MasterInputs'!$G69*'Table 12-IUL Census'!$D24*IF(X30=0,0,1)</f>
        <v>-7370.0114248742575</v>
      </c>
      <c r="W31" s="174">
        <f>-'Tables 26a,b-MasterInputs'!$F69*S31</f>
        <v>0</v>
      </c>
      <c r="X31" s="85">
        <f t="shared" si="12"/>
        <v>613617.71785664978</v>
      </c>
      <c r="Y31" s="85">
        <f>-X31*'Tables 26a,b-MasterInputs'!$I69</f>
        <v>-3779.8851419969624</v>
      </c>
      <c r="Z31" s="85">
        <f t="shared" si="13"/>
        <v>609837.83271465276</v>
      </c>
      <c r="AA31" s="85">
        <f>-Z31*'Tables 26a,b-MasterInputs'!$J69</f>
        <v>-24393.513308586113</v>
      </c>
      <c r="AB31" s="299">
        <f t="shared" si="14"/>
        <v>585444.31940606667</v>
      </c>
      <c r="AC31" s="107">
        <f>IFERROR(AB31/'Table 12-IUL Census'!G25,0)</f>
        <v>16.651744006410933</v>
      </c>
      <c r="AD31" s="88">
        <f>'Table 12-IUL Census'!F25</f>
        <v>1464.9224308994064</v>
      </c>
      <c r="AE31" s="89">
        <f>'Tables 26a,b-MasterInputs'!$H69</f>
        <v>0</v>
      </c>
      <c r="AF31" s="175">
        <f t="shared" si="15"/>
        <v>0</v>
      </c>
      <c r="AG31" s="303">
        <f t="shared" ca="1" si="32"/>
        <v>0</v>
      </c>
      <c r="AH31" s="137">
        <v>14</v>
      </c>
      <c r="AI31" s="85">
        <v>0</v>
      </c>
      <c r="AJ31" s="300">
        <f>MAX('Table 7-11-IULHostVEDInputs'!F44*(AR30+AI31+AK31+AL31+AM31),0)</f>
        <v>0</v>
      </c>
      <c r="AK31" s="300">
        <f t="shared" si="42"/>
        <v>-97728.514681455752</v>
      </c>
      <c r="AL31" s="300">
        <f t="shared" si="43"/>
        <v>-3589.7496528354218</v>
      </c>
      <c r="AM31" s="300">
        <f t="shared" si="44"/>
        <v>0</v>
      </c>
      <c r="AN31" s="85">
        <f t="shared" si="16"/>
        <v>298877.96133058978</v>
      </c>
      <c r="AO31" s="85">
        <f>-AN31*'Tables 26a,b-MasterInputs'!$I69</f>
        <v>-1841.0882417964328</v>
      </c>
      <c r="AP31" s="85">
        <f t="shared" si="17"/>
        <v>297036.87308879336</v>
      </c>
      <c r="AQ31" s="85">
        <f>-AP31*'Tables 26a,b-MasterInputs'!$J69</f>
        <v>-11881.474923551736</v>
      </c>
      <c r="AR31" s="299">
        <f t="shared" si="18"/>
        <v>285155.39816524164</v>
      </c>
      <c r="AS31" s="301">
        <f>IFERROR(AR31/'Table 12-IUL Census'!$G25,0)</f>
        <v>8.1106512351353448</v>
      </c>
      <c r="AT31" s="88">
        <f>'Table 12-IUL Census'!$F25*(AR30/($AR30+BH30))</f>
        <v>713.52735899479114</v>
      </c>
      <c r="AU31" s="89">
        <f>'Tables 26a,b-MasterInputs'!$H69</f>
        <v>0</v>
      </c>
      <c r="AV31" s="270">
        <f t="shared" si="19"/>
        <v>0</v>
      </c>
      <c r="AW31" s="120"/>
      <c r="AX31" s="137">
        <v>14</v>
      </c>
      <c r="AY31" s="85">
        <v>0</v>
      </c>
      <c r="AZ31" s="300">
        <f>MAX('Table 7-11-IULHostVEDInputs'!F44*(BH30+AY31+BA31+BB31+BC31),0)</f>
        <v>0</v>
      </c>
      <c r="BA31" s="300">
        <f t="shared" si="45"/>
        <v>-102915.07871492811</v>
      </c>
      <c r="BB31" s="300">
        <f t="shared" si="46"/>
        <v>-3780.2617720388357</v>
      </c>
      <c r="BC31" s="300">
        <f t="shared" si="47"/>
        <v>0</v>
      </c>
      <c r="BD31" s="85">
        <f t="shared" si="33"/>
        <v>314739.75652606023</v>
      </c>
      <c r="BE31" s="85">
        <f>-BD31*'Tables 26a,b-MasterInputs'!$I69</f>
        <v>-1938.7969002005309</v>
      </c>
      <c r="BF31" s="85">
        <f t="shared" si="34"/>
        <v>312800.95962585969</v>
      </c>
      <c r="BG31" s="85">
        <f>-BF31*'Tables 26a,b-MasterInputs'!$J69</f>
        <v>-12512.038385034388</v>
      </c>
      <c r="BH31" s="270">
        <f t="shared" si="35"/>
        <v>300288.92124082532</v>
      </c>
      <c r="BI31" s="301">
        <f>IFERROR(BH31/'Table 12-IUL Census'!$G25,0)</f>
        <v>8.5410927712755971</v>
      </c>
      <c r="BJ31" s="88">
        <f>'Table 12-IUL Census'!$F25*(BH30/($AR30+BH30))</f>
        <v>751.39507190461529</v>
      </c>
      <c r="BK31" s="89">
        <f>'Tables 26a,b-MasterInputs'!$H69</f>
        <v>0</v>
      </c>
      <c r="BL31" s="175">
        <f t="shared" si="20"/>
        <v>0</v>
      </c>
      <c r="BO31" s="137">
        <v>14</v>
      </c>
      <c r="BP31" s="85">
        <v>0</v>
      </c>
      <c r="BQ31" s="302">
        <f>MAX('Table 7-11-IULHostVEDInputs'!F44*(BY30+BP31+BR31+BS31+BT31),0)</f>
        <v>0</v>
      </c>
      <c r="BR31" s="304">
        <f>MAX(-'Tables 26a,b-MasterInputs'!$K69*('Table 12-IUL Census'!$G24*1000/(1+'Tables 26a,b-MasterInputs'!$E44)-(BY30+BP31+BS31+BT31)),-BY30-BS31)*IF(BU30=0,0,1)</f>
        <v>-193108.79586190349</v>
      </c>
      <c r="BS31" s="304">
        <f>-'Tables 26a,b-MasterInputs'!$G69*'Table 12-IUL Census'!$D24*IF(BU30=0,0,1)</f>
        <v>-7370.0114248742575</v>
      </c>
      <c r="BT31" s="304">
        <f>-'Tables 26a,b-MasterInputs'!$F69*BP31</f>
        <v>0</v>
      </c>
      <c r="BU31" s="85">
        <f t="shared" si="21"/>
        <v>1940657.8206070147</v>
      </c>
      <c r="BV31" s="85">
        <f>-BU31*'Tables 26a,b-MasterInputs'!$I69</f>
        <v>-11954.45217493921</v>
      </c>
      <c r="BW31" s="85">
        <f t="shared" si="22"/>
        <v>1928703.3684320755</v>
      </c>
      <c r="BX31" s="85">
        <f>-BW31*'Tables 26a,b-MasterInputs'!$J69</f>
        <v>-77148.134737283021</v>
      </c>
      <c r="BY31" s="299">
        <f t="shared" si="23"/>
        <v>1851555.2336947925</v>
      </c>
      <c r="BZ31" s="107">
        <f>IFERROR(BY31/'Table 12-IUL Census'!$G25,0)</f>
        <v>52.663631268119126</v>
      </c>
      <c r="CA31" s="88">
        <f>'Table 12-IUL Census'!$F25</f>
        <v>1464.9224308994064</v>
      </c>
      <c r="CB31" s="89">
        <f>'Tables 26a,b-MasterInputs'!$H69</f>
        <v>0</v>
      </c>
      <c r="CC31" s="175">
        <f t="shared" si="24"/>
        <v>0</v>
      </c>
      <c r="CD31" s="303">
        <f t="shared" ca="1" si="25"/>
        <v>0</v>
      </c>
      <c r="CE31" s="137">
        <v>14</v>
      </c>
      <c r="CF31" s="85">
        <v>0</v>
      </c>
      <c r="CG31" s="302">
        <f>MAX('Table 7-11-IULHostVEDInputs'!F44*(CO30+CF31+CH31+CI31+CJ31),0)</f>
        <v>0</v>
      </c>
      <c r="CH31" s="300">
        <f t="shared" si="49"/>
        <v>-61446.378852279064</v>
      </c>
      <c r="CI31" s="300">
        <f t="shared" si="50"/>
        <v>-2345.1055770773878</v>
      </c>
      <c r="CJ31" s="300">
        <f t="shared" si="48"/>
        <v>0</v>
      </c>
      <c r="CK31" s="85">
        <f t="shared" si="26"/>
        <v>617508.87698006618</v>
      </c>
      <c r="CL31" s="85">
        <f>-CK31*'Tables 26a,b-MasterInputs'!$I69</f>
        <v>-3803.8546821972077</v>
      </c>
      <c r="CM31" s="85">
        <f t="shared" si="27"/>
        <v>613705.02229786897</v>
      </c>
      <c r="CN31" s="85">
        <f>-CM31*'Tables 26a,b-MasterInputs'!$J69</f>
        <v>-24548.200891914759</v>
      </c>
      <c r="CO31" s="299">
        <f t="shared" si="28"/>
        <v>589156.82140595419</v>
      </c>
      <c r="CP31" s="301">
        <f>IFERROR(CO31/'Table 12-IUL Census'!$G25,0)</f>
        <v>16.75733839152365</v>
      </c>
      <c r="CQ31" s="88">
        <f>'Table 12-IUL Census'!$F25*(CO30/(CO30+DE30+DU30))</f>
        <v>466.13194534451821</v>
      </c>
      <c r="CR31" s="89">
        <f>'Tables 26a,b-MasterInputs'!$H69</f>
        <v>0</v>
      </c>
      <c r="CS31" s="270">
        <f t="shared" si="29"/>
        <v>0</v>
      </c>
      <c r="CU31" s="137">
        <v>14</v>
      </c>
      <c r="CV31" s="85">
        <v>0</v>
      </c>
      <c r="CW31" s="302">
        <f>MAX('Table 7-11-IULHostVEDInputs'!F44*(DE30+CV31+CX31+CY31+CZ31),0)</f>
        <v>0</v>
      </c>
      <c r="CX31" s="300">
        <f t="shared" si="51"/>
        <v>-64707.408446160953</v>
      </c>
      <c r="CY31" s="300">
        <f t="shared" si="52"/>
        <v>-2469.5630118435893</v>
      </c>
      <c r="CZ31" s="300">
        <v>0</v>
      </c>
      <c r="DA31" s="85">
        <f t="shared" si="36"/>
        <v>650280.77924558229</v>
      </c>
      <c r="DB31" s="85">
        <f>-DA31*'Tables 26a,b-MasterInputs'!$I69</f>
        <v>-4005.7296001527866</v>
      </c>
      <c r="DC31" s="85">
        <f t="shared" si="37"/>
        <v>646275.04964542948</v>
      </c>
      <c r="DD31" s="85">
        <f>-DC31*'Tables 26a,b-MasterInputs'!$J69</f>
        <v>-25851.00198581718</v>
      </c>
      <c r="DE31" s="270">
        <f t="shared" si="38"/>
        <v>620424.04765961226</v>
      </c>
      <c r="DF31" s="301">
        <f>IFERROR(DE31/'Table 12-IUL Census'!$G25,0)</f>
        <v>17.646669503139265</v>
      </c>
      <c r="DG31" s="88">
        <f>'Table 12-IUL Census'!$F25*(DE30/(CO30+DE30+DU30))</f>
        <v>490.87010073812655</v>
      </c>
      <c r="DH31" s="89">
        <f>'Tables 26a,b-MasterInputs'!$H69</f>
        <v>0</v>
      </c>
      <c r="DI31" s="175">
        <f t="shared" si="30"/>
        <v>0</v>
      </c>
      <c r="DK31" s="137">
        <v>14</v>
      </c>
      <c r="DL31" s="85">
        <v>0</v>
      </c>
      <c r="DM31" s="302">
        <f>MAX('Table 7-11-IULHostVEDInputs'!F44*(DU30+DL31+DN31+DO31+DP31),0)</f>
        <v>0</v>
      </c>
      <c r="DN31" s="300">
        <f t="shared" si="53"/>
        <v>-66955.008563463474</v>
      </c>
      <c r="DO31" s="300">
        <f t="shared" si="54"/>
        <v>-2555.3428359532804</v>
      </c>
      <c r="DP31" s="300">
        <v>0</v>
      </c>
      <c r="DQ31" s="85">
        <f t="shared" si="39"/>
        <v>672868.16438136669</v>
      </c>
      <c r="DR31" s="85">
        <f>-DQ31*'Tables 26a,b-MasterInputs'!$I69</f>
        <v>-4144.8678925892182</v>
      </c>
      <c r="DS31" s="85">
        <f t="shared" si="40"/>
        <v>668723.2964887775</v>
      </c>
      <c r="DT31" s="85">
        <f>-DS31*'Tables 26a,b-MasterInputs'!$J69</f>
        <v>-26748.931859551099</v>
      </c>
      <c r="DU31" s="270">
        <f t="shared" si="41"/>
        <v>641974.36462922639</v>
      </c>
      <c r="DV31" s="301">
        <f>IFERROR(DU31/'Table 12-IUL Census'!$G25,0)</f>
        <v>18.259623373456225</v>
      </c>
      <c r="DW31" s="88">
        <f>'Table 12-IUL Census'!$F25*(DU30/(CO30+DE30+DU30))</f>
        <v>507.92038481676167</v>
      </c>
      <c r="DX31" s="89">
        <f>'Tables 26a,b-MasterInputs'!$H69</f>
        <v>0</v>
      </c>
      <c r="DY31" s="175">
        <f t="shared" si="31"/>
        <v>0</v>
      </c>
      <c r="EJ31" s="88"/>
      <c r="EK31" s="88"/>
      <c r="EL31" s="88"/>
      <c r="EM31" s="88"/>
      <c r="EN31" s="88"/>
      <c r="EO31" s="85"/>
      <c r="EP31" s="85"/>
      <c r="EQ31" s="85"/>
    </row>
    <row r="32" spans="1:147" x14ac:dyDescent="0.25">
      <c r="A32" s="137">
        <v>15</v>
      </c>
      <c r="B32" s="85">
        <v>0</v>
      </c>
      <c r="C32" s="174">
        <f>MAX('Table 7-11-IULHostVEDInputs'!F45*(K31+B32+D32+E32+F32),0)</f>
        <v>0</v>
      </c>
      <c r="D32" s="174">
        <f>MAX(-'Tables 26a,b-MasterInputs'!$K70*('Table 12-IUL Census'!$G25*1000/(1+'Tables 26a,b-MasterInputs'!$E45)-(K31+B32+E32+F32)),-K31-E32)*IF(G31=0,0,1)</f>
        <v>0</v>
      </c>
      <c r="E32" s="174">
        <f>-'Tables 26a,b-MasterInputs'!$G70*'Table 12-IUL Census'!D25*IF(G31=0,0,1)</f>
        <v>0</v>
      </c>
      <c r="F32" s="174">
        <f>-'Tables 26a,b-MasterInputs'!$F70*B32</f>
        <v>0</v>
      </c>
      <c r="G32" s="85">
        <f t="shared" si="55"/>
        <v>0</v>
      </c>
      <c r="H32" s="85">
        <f>-G32*'Tables 26a,b-MasterInputs'!$I70</f>
        <v>0</v>
      </c>
      <c r="I32" s="85">
        <f t="shared" si="9"/>
        <v>0</v>
      </c>
      <c r="J32" s="85">
        <f>-I32*'Tables 26a,b-MasterInputs'!$J70</f>
        <v>0</v>
      </c>
      <c r="K32" s="299">
        <f t="shared" si="10"/>
        <v>0</v>
      </c>
      <c r="L32" s="107">
        <f>IFERROR(K32/'Table 12-IUL Census'!$G26,0)</f>
        <v>0</v>
      </c>
      <c r="M32" s="88">
        <f>'Table 12-IUL Census'!F26</f>
        <v>1396.5796977151426</v>
      </c>
      <c r="N32" s="89">
        <f>'Tables 26a,b-MasterInputs'!$H70</f>
        <v>0</v>
      </c>
      <c r="O32" s="175">
        <f t="shared" si="11"/>
        <v>0</v>
      </c>
      <c r="R32" s="137">
        <v>15</v>
      </c>
      <c r="S32" s="85">
        <v>0</v>
      </c>
      <c r="T32" s="300">
        <f>MAX('Table 7-11-IULHostVEDInputs'!F45*(AB31+S32+U32+V32+W32),0)</f>
        <v>0</v>
      </c>
      <c r="U32" s="174">
        <f>MAX(-'Tables 26a,b-MasterInputs'!$K70*('Table 12-IUL Census'!$G25*1000/(1+'Tables 26a,b-MasterInputs'!$E45)-(AB31+S32+V32+W32)),-AB31-V32)*IF(X31=0,0,1)</f>
        <v>-216635.18700050435</v>
      </c>
      <c r="V32" s="174">
        <f>-'Tables 26a,b-MasterInputs'!$G70*'Table 12-IUL Census'!$D25*IF(X31=0,0,1)</f>
        <v>-7031.6276683171509</v>
      </c>
      <c r="W32" s="174">
        <f>-'Tables 26a,b-MasterInputs'!$F70*S32</f>
        <v>0</v>
      </c>
      <c r="X32" s="85">
        <f t="shared" si="12"/>
        <v>361777.50473724515</v>
      </c>
      <c r="Y32" s="85">
        <f>-X32*'Tables 26a,b-MasterInputs'!$I70</f>
        <v>-2507.1181078291092</v>
      </c>
      <c r="Z32" s="85">
        <f t="shared" si="13"/>
        <v>359270.38662941603</v>
      </c>
      <c r="AA32" s="85">
        <f>-Z32*'Tables 26a,b-MasterInputs'!$J70</f>
        <v>-14370.815465176642</v>
      </c>
      <c r="AB32" s="299">
        <f t="shared" si="14"/>
        <v>344899.57116423937</v>
      </c>
      <c r="AC32" s="107">
        <f>IFERROR(AB32/'Table 12-IUL Census'!G26,0)</f>
        <v>10.290007429356052</v>
      </c>
      <c r="AD32" s="88">
        <f>'Table 12-IUL Census'!F26</f>
        <v>1396.5796977151426</v>
      </c>
      <c r="AE32" s="89">
        <f>'Tables 26a,b-MasterInputs'!$H70</f>
        <v>0</v>
      </c>
      <c r="AF32" s="175">
        <f t="shared" si="15"/>
        <v>0</v>
      </c>
      <c r="AG32" s="303">
        <f t="shared" ca="1" si="32"/>
        <v>0</v>
      </c>
      <c r="AH32" s="137">
        <v>15</v>
      </c>
      <c r="AI32" s="85">
        <v>0</v>
      </c>
      <c r="AJ32" s="300">
        <f>MAX('Table 7-11-IULHostVEDInputs'!F45*(AR31+AI32+AK32+AL32+AM32),0)</f>
        <v>0</v>
      </c>
      <c r="AK32" s="300">
        <f t="shared" si="42"/>
        <v>-105517.62303954165</v>
      </c>
      <c r="AL32" s="300">
        <f t="shared" si="43"/>
        <v>-3424.9313231749975</v>
      </c>
      <c r="AM32" s="300">
        <f t="shared" si="44"/>
        <v>0</v>
      </c>
      <c r="AN32" s="85">
        <f t="shared" si="16"/>
        <v>176212.84380252499</v>
      </c>
      <c r="AO32" s="85">
        <f>-AN32*'Tables 26a,b-MasterInputs'!$I70</f>
        <v>-1221.1550075514983</v>
      </c>
      <c r="AP32" s="85">
        <f t="shared" si="17"/>
        <v>174991.68879497348</v>
      </c>
      <c r="AQ32" s="85">
        <f>-AP32*'Tables 26a,b-MasterInputs'!$J70</f>
        <v>-6999.6675517989397</v>
      </c>
      <c r="AR32" s="299">
        <f t="shared" si="18"/>
        <v>167992.02124317453</v>
      </c>
      <c r="AS32" s="301">
        <f>IFERROR(AR32/'Table 12-IUL Census'!$G26,0)</f>
        <v>5.0120072368592101</v>
      </c>
      <c r="AT32" s="88">
        <f>'Table 12-IUL Census'!$F26*(AR31/($AR31+BH31))</f>
        <v>680.2393098210789</v>
      </c>
      <c r="AU32" s="89">
        <f>'Tables 26a,b-MasterInputs'!$H70</f>
        <v>0</v>
      </c>
      <c r="AV32" s="270">
        <f t="shared" si="19"/>
        <v>0</v>
      </c>
      <c r="AW32" s="120"/>
      <c r="AX32" s="137">
        <v>15</v>
      </c>
      <c r="AY32" s="85">
        <v>0</v>
      </c>
      <c r="AZ32" s="300">
        <f>MAX('Table 7-11-IULHostVEDInputs'!F45*(BH31+AY32+BA32+BB32+BC32),0)</f>
        <v>0</v>
      </c>
      <c r="BA32" s="300">
        <f t="shared" si="45"/>
        <v>-111117.56396096267</v>
      </c>
      <c r="BB32" s="300">
        <f t="shared" si="46"/>
        <v>-3606.6963451421529</v>
      </c>
      <c r="BC32" s="300">
        <f t="shared" si="47"/>
        <v>0</v>
      </c>
      <c r="BD32" s="85">
        <f t="shared" si="33"/>
        <v>185564.66093472051</v>
      </c>
      <c r="BE32" s="85">
        <f>-BD32*'Tables 26a,b-MasterInputs'!$I70</f>
        <v>-1285.9631002776132</v>
      </c>
      <c r="BF32" s="85">
        <f t="shared" si="34"/>
        <v>184278.69783444289</v>
      </c>
      <c r="BG32" s="85">
        <f>-BF32*'Tables 26a,b-MasterInputs'!$J70</f>
        <v>-7371.1479133777157</v>
      </c>
      <c r="BH32" s="270">
        <f t="shared" si="35"/>
        <v>176907.54992106519</v>
      </c>
      <c r="BI32" s="301">
        <f>IFERROR(BH32/'Table 12-IUL Census'!$G26,0)</f>
        <v>5.2780001924968536</v>
      </c>
      <c r="BJ32" s="88">
        <f>'Table 12-IUL Census'!$F26*(BH31/($AR31+BH31))</f>
        <v>716.3403878940635</v>
      </c>
      <c r="BK32" s="89">
        <f>'Tables 26a,b-MasterInputs'!$H70</f>
        <v>0</v>
      </c>
      <c r="BL32" s="175">
        <f t="shared" si="20"/>
        <v>0</v>
      </c>
      <c r="BO32" s="137">
        <v>15</v>
      </c>
      <c r="BP32" s="85">
        <v>0</v>
      </c>
      <c r="BQ32" s="302">
        <f>MAX('Table 7-11-IULHostVEDInputs'!F45*(BY31+BP32+BR32+BS32+BT32),0)</f>
        <v>0</v>
      </c>
      <c r="BR32" s="304">
        <f>MAX(-'Tables 26a,b-MasterInputs'!$K70*('Table 12-IUL Census'!$G25*1000/(1+'Tables 26a,b-MasterInputs'!$E45)-(BY31+BP32+BS32+BT32)),-BY31-BS32)*IF(BU31=0,0,1)</f>
        <v>-208501.55121491299</v>
      </c>
      <c r="BS32" s="304">
        <f>-'Tables 26a,b-MasterInputs'!$G70*'Table 12-IUL Census'!$D25*IF(BU31=0,0,1)</f>
        <v>-7031.6276683171509</v>
      </c>
      <c r="BT32" s="304">
        <f>-'Tables 26a,b-MasterInputs'!$F70*BP32</f>
        <v>0</v>
      </c>
      <c r="BU32" s="85">
        <f t="shared" si="21"/>
        <v>1636022.0548115624</v>
      </c>
      <c r="BV32" s="85">
        <f>-BU32*'Tables 26a,b-MasterInputs'!$I70</f>
        <v>-11337.632839844127</v>
      </c>
      <c r="BW32" s="85">
        <f t="shared" si="22"/>
        <v>1624684.4219717183</v>
      </c>
      <c r="BX32" s="85">
        <f>-BW32*'Tables 26a,b-MasterInputs'!$J70</f>
        <v>-64987.376878868738</v>
      </c>
      <c r="BY32" s="299">
        <f t="shared" si="23"/>
        <v>1559697.0450928495</v>
      </c>
      <c r="BZ32" s="107">
        <f>IFERROR(BY32/'Table 12-IUL Census'!$G26,0)</f>
        <v>46.53323901614106</v>
      </c>
      <c r="CA32" s="88">
        <f>'Table 12-IUL Census'!$F26</f>
        <v>1396.5796977151426</v>
      </c>
      <c r="CB32" s="89">
        <f>'Tables 26a,b-MasterInputs'!$H70</f>
        <v>0</v>
      </c>
      <c r="CC32" s="175">
        <f t="shared" si="24"/>
        <v>0</v>
      </c>
      <c r="CD32" s="303">
        <f t="shared" ca="1" si="25"/>
        <v>0</v>
      </c>
      <c r="CE32" s="137">
        <v>15</v>
      </c>
      <c r="CF32" s="85">
        <v>0</v>
      </c>
      <c r="CG32" s="302">
        <f>MAX('Table 7-11-IULHostVEDInputs'!F45*(CO31+CF32+CH32+CI32+CJ32),0)</f>
        <v>0</v>
      </c>
      <c r="CH32" s="300">
        <f t="shared" si="49"/>
        <v>-66344.28664969423</v>
      </c>
      <c r="CI32" s="300">
        <f t="shared" si="50"/>
        <v>-2237.4333376536879</v>
      </c>
      <c r="CJ32" s="300">
        <f t="shared" si="48"/>
        <v>0</v>
      </c>
      <c r="CK32" s="85">
        <f t="shared" si="26"/>
        <v>520575.1014186063</v>
      </c>
      <c r="CL32" s="85">
        <f>-CK32*'Tables 26a,b-MasterInputs'!$I70</f>
        <v>-3607.5854528309419</v>
      </c>
      <c r="CM32" s="85">
        <f t="shared" si="27"/>
        <v>516967.51596577535</v>
      </c>
      <c r="CN32" s="85">
        <f>-CM32*'Tables 26a,b-MasterInputs'!$J70</f>
        <v>-20678.700638631013</v>
      </c>
      <c r="CO32" s="299">
        <f t="shared" si="28"/>
        <v>496288.81532714434</v>
      </c>
      <c r="CP32" s="301">
        <f>IFERROR(CO32/'Table 12-IUL Census'!$G26,0)</f>
        <v>14.806674243125663</v>
      </c>
      <c r="CQ32" s="88">
        <f>'Table 12-IUL Census'!$F26*(CO31/(CO31+DE31+DU31))</f>
        <v>444.38558492474954</v>
      </c>
      <c r="CR32" s="89">
        <f>'Tables 26a,b-MasterInputs'!$H70</f>
        <v>0</v>
      </c>
      <c r="CS32" s="270">
        <f t="shared" si="29"/>
        <v>0</v>
      </c>
      <c r="CU32" s="137">
        <v>15</v>
      </c>
      <c r="CV32" s="85">
        <v>0</v>
      </c>
      <c r="CW32" s="302">
        <f>MAX('Table 7-11-IULHostVEDInputs'!F45*(DE31+CV32+CX32+CY32+CZ32),0)</f>
        <v>0</v>
      </c>
      <c r="CX32" s="300">
        <f t="shared" si="51"/>
        <v>-69865.253811481831</v>
      </c>
      <c r="CY32" s="300">
        <f t="shared" si="52"/>
        <v>-2356.1764835430076</v>
      </c>
      <c r="CZ32" s="300">
        <v>0</v>
      </c>
      <c r="DA32" s="85">
        <f t="shared" si="36"/>
        <v>548202.61736458738</v>
      </c>
      <c r="DB32" s="85">
        <f>-DA32*'Tables 26a,b-MasterInputs'!$I70</f>
        <v>-3799.0441383365905</v>
      </c>
      <c r="DC32" s="85">
        <f t="shared" si="37"/>
        <v>544403.57322625082</v>
      </c>
      <c r="DD32" s="85">
        <f>-DC32*'Tables 26a,b-MasterInputs'!$J70</f>
        <v>-21776.142929050035</v>
      </c>
      <c r="DE32" s="270">
        <f t="shared" si="38"/>
        <v>522627.4302972008</v>
      </c>
      <c r="DF32" s="301">
        <f>IFERROR(DE32/'Table 12-IUL Census'!$G26,0)</f>
        <v>15.592481377666195</v>
      </c>
      <c r="DG32" s="88">
        <f>'Table 12-IUL Census'!$F26*(DE31/(CO31+DE31+DU31))</f>
        <v>467.9696361024109</v>
      </c>
      <c r="DH32" s="89">
        <f>'Tables 26a,b-MasterInputs'!$H70</f>
        <v>0</v>
      </c>
      <c r="DI32" s="175">
        <f t="shared" si="30"/>
        <v>0</v>
      </c>
      <c r="DK32" s="137">
        <v>15</v>
      </c>
      <c r="DL32" s="85">
        <v>0</v>
      </c>
      <c r="DM32" s="302">
        <f>MAX('Table 7-11-IULHostVEDInputs'!F45*(DU31+DL32+DN32+DO32+DP32),0)</f>
        <v>0</v>
      </c>
      <c r="DN32" s="300">
        <f t="shared" si="53"/>
        <v>-72292.010753736948</v>
      </c>
      <c r="DO32" s="300">
        <f t="shared" si="54"/>
        <v>-2438.0178471204563</v>
      </c>
      <c r="DP32" s="300">
        <v>0</v>
      </c>
      <c r="DQ32" s="85">
        <f t="shared" si="39"/>
        <v>567244.33602836903</v>
      </c>
      <c r="DR32" s="85">
        <f>-DQ32*'Tables 26a,b-MasterInputs'!$I70</f>
        <v>-3931.0032486765977</v>
      </c>
      <c r="DS32" s="85">
        <f t="shared" si="40"/>
        <v>563313.33277969249</v>
      </c>
      <c r="DT32" s="85">
        <f>-DS32*'Tables 26a,b-MasterInputs'!$J70</f>
        <v>-22532.533311187701</v>
      </c>
      <c r="DU32" s="270">
        <f t="shared" si="41"/>
        <v>540780.79946850473</v>
      </c>
      <c r="DV32" s="301">
        <f>IFERROR(DU32/'Table 12-IUL Census'!$G26,0)</f>
        <v>16.134083395349215</v>
      </c>
      <c r="DW32" s="88">
        <f>'Table 12-IUL Census'!$F26*(DU31/(CO31+DE31+DU31))</f>
        <v>484.22447668798225</v>
      </c>
      <c r="DX32" s="89">
        <f>'Tables 26a,b-MasterInputs'!$H70</f>
        <v>0</v>
      </c>
      <c r="DY32" s="175">
        <f t="shared" si="31"/>
        <v>0</v>
      </c>
      <c r="EJ32" s="88"/>
      <c r="EK32" s="88"/>
      <c r="EL32" s="88"/>
      <c r="EM32" s="88"/>
      <c r="EN32" s="88"/>
      <c r="EO32" s="85"/>
      <c r="EP32" s="85"/>
      <c r="EQ32" s="85"/>
    </row>
    <row r="33" spans="1:202" x14ac:dyDescent="0.25">
      <c r="A33" s="137">
        <v>16</v>
      </c>
      <c r="B33" s="85">
        <v>0</v>
      </c>
      <c r="C33" s="174">
        <f>MAX('Table 7-11-IULHostVEDInputs'!F46*(K32+B33+D33+E33+F33),0)</f>
        <v>0</v>
      </c>
      <c r="D33" s="174">
        <f>MAX(-'Tables 26a,b-MasterInputs'!$K71*('Table 12-IUL Census'!$G26*1000/(1+'Tables 26a,b-MasterInputs'!$E46)-(K32+B33+E33+F33)),-K32-E33)*IF(G32=0,0,1)</f>
        <v>0</v>
      </c>
      <c r="E33" s="174">
        <f>-'Tables 26a,b-MasterInputs'!$G71*'Table 12-IUL Census'!D26*IF(G32=0,0,1)</f>
        <v>0</v>
      </c>
      <c r="F33" s="174">
        <f>-'Tables 26a,b-MasterInputs'!$F71*B33</f>
        <v>0</v>
      </c>
      <c r="G33" s="85">
        <f t="shared" si="55"/>
        <v>0</v>
      </c>
      <c r="H33" s="85">
        <f>-G33*'Tables 26a,b-MasterInputs'!$I71</f>
        <v>0</v>
      </c>
      <c r="I33" s="85">
        <f t="shared" si="9"/>
        <v>0</v>
      </c>
      <c r="J33" s="85">
        <f>-I33*'Tables 26a,b-MasterInputs'!$J71</f>
        <v>0</v>
      </c>
      <c r="K33" s="299">
        <f t="shared" si="10"/>
        <v>0</v>
      </c>
      <c r="L33" s="107">
        <f>IFERROR(K33/'Table 12-IUL Census'!$G27,0)</f>
        <v>0</v>
      </c>
      <c r="M33" s="88">
        <f>'Table 12-IUL Census'!F27</f>
        <v>1330.2991425253401</v>
      </c>
      <c r="N33" s="89">
        <f>'Tables 26a,b-MasterInputs'!$H71</f>
        <v>0</v>
      </c>
      <c r="O33" s="175">
        <f t="shared" si="11"/>
        <v>0</v>
      </c>
      <c r="R33" s="137">
        <v>16</v>
      </c>
      <c r="S33" s="85">
        <v>0</v>
      </c>
      <c r="T33" s="300">
        <f>MAX('Table 7-11-IULHostVEDInputs'!F46*(AB32+S33+U33+V33+W33),0)</f>
        <v>0</v>
      </c>
      <c r="U33" s="174">
        <f>MAX(-'Tables 26a,b-MasterInputs'!$K71*('Table 12-IUL Census'!$G26*1000/(1+'Tables 26a,b-MasterInputs'!$E46)-(AB32+S33+V33+W33)),-AB32-V33)*IF(X32=0,0,1)</f>
        <v>-233098.17872173354</v>
      </c>
      <c r="V33" s="174">
        <f>-'Tables 26a,b-MasterInputs'!$G71*'Table 12-IUL Census'!$D26*IF(X32=0,0,1)</f>
        <v>-6703.5825490326852</v>
      </c>
      <c r="W33" s="174">
        <f>-'Tables 26a,b-MasterInputs'!$F71*S33</f>
        <v>0</v>
      </c>
      <c r="X33" s="85">
        <f t="shared" si="12"/>
        <v>105097.80989347314</v>
      </c>
      <c r="Y33" s="85">
        <f>-X33*'Tables 26a,b-MasterInputs'!$I71</f>
        <v>-816.60998287228631</v>
      </c>
      <c r="Z33" s="85">
        <f t="shared" si="13"/>
        <v>104281.19991060086</v>
      </c>
      <c r="AA33" s="85">
        <f>-Z33*'Tables 26a,b-MasterInputs'!$J71</f>
        <v>-4171.2479964240347</v>
      </c>
      <c r="AB33" s="299">
        <f t="shared" si="14"/>
        <v>100109.95191417683</v>
      </c>
      <c r="AC33" s="107">
        <f>IFERROR(AB33/'Table 12-IUL Census'!G27,0)</f>
        <v>3.1355714388461924</v>
      </c>
      <c r="AD33" s="88">
        <f>'Table 12-IUL Census'!F27</f>
        <v>1330.2991425253401</v>
      </c>
      <c r="AE33" s="89">
        <f>'Tables 26a,b-MasterInputs'!$H71</f>
        <v>0</v>
      </c>
      <c r="AF33" s="175">
        <f t="shared" si="15"/>
        <v>0</v>
      </c>
      <c r="AG33" s="303">
        <f t="shared" ca="1" si="32"/>
        <v>3.637978807091713E-10</v>
      </c>
      <c r="AH33" s="137">
        <v>16</v>
      </c>
      <c r="AI33" s="85">
        <v>0</v>
      </c>
      <c r="AJ33" s="300">
        <f>MAX('Table 7-11-IULHostVEDInputs'!F46*(AR32+AI33+AK33+AL33+AM33),0)</f>
        <v>0</v>
      </c>
      <c r="AK33" s="300">
        <f t="shared" si="42"/>
        <v>-113536.3377211031</v>
      </c>
      <c r="AL33" s="300">
        <f t="shared" si="43"/>
        <v>-3265.1486871411789</v>
      </c>
      <c r="AM33" s="300">
        <f t="shared" si="44"/>
        <v>0</v>
      </c>
      <c r="AN33" s="85">
        <f t="shared" si="16"/>
        <v>51190.534834930251</v>
      </c>
      <c r="AO33" s="85">
        <f>-AN33*'Tables 26a,b-MasterInputs'!$I71</f>
        <v>-397.75045566740806</v>
      </c>
      <c r="AP33" s="85">
        <f t="shared" si="17"/>
        <v>50792.784379262841</v>
      </c>
      <c r="AQ33" s="85">
        <f>-AP33*'Tables 26a,b-MasterInputs'!$J71</f>
        <v>-2031.7113751705137</v>
      </c>
      <c r="AR33" s="299">
        <f t="shared" si="18"/>
        <v>48761.07300409233</v>
      </c>
      <c r="AS33" s="301">
        <f>IFERROR(AR33/'Table 12-IUL Census'!$G27,0)</f>
        <v>1.5272590278556946</v>
      </c>
      <c r="AT33" s="88">
        <f>'Table 12-IUL Census'!$F27*(AR32/($AR32+BH32))</f>
        <v>647.95569636841833</v>
      </c>
      <c r="AU33" s="89">
        <f>'Tables 26a,b-MasterInputs'!$H71</f>
        <v>0</v>
      </c>
      <c r="AV33" s="270">
        <f t="shared" si="19"/>
        <v>0</v>
      </c>
      <c r="AW33" s="120"/>
      <c r="AX33" s="137">
        <v>16</v>
      </c>
      <c r="AY33" s="85">
        <v>0</v>
      </c>
      <c r="AZ33" s="300">
        <f>MAX('Table 7-11-IULHostVEDInputs'!F46*(BH32+AY33+BA33+BB33+BC33),0)</f>
        <v>0</v>
      </c>
      <c r="BA33" s="300">
        <f t="shared" si="45"/>
        <v>-119561.84100063043</v>
      </c>
      <c r="BB33" s="300">
        <f t="shared" si="46"/>
        <v>-3438.4338618915062</v>
      </c>
      <c r="BC33" s="300">
        <f t="shared" si="47"/>
        <v>0</v>
      </c>
      <c r="BD33" s="85">
        <f t="shared" si="33"/>
        <v>53907.275058543251</v>
      </c>
      <c r="BE33" s="85">
        <f>-BD33*'Tables 26a,b-MasterInputs'!$I71</f>
        <v>-418.85952720488109</v>
      </c>
      <c r="BF33" s="85">
        <f t="shared" si="34"/>
        <v>53488.415531338367</v>
      </c>
      <c r="BG33" s="85">
        <f>-BF33*'Tables 26a,b-MasterInputs'!$J71</f>
        <v>-2139.5366212535346</v>
      </c>
      <c r="BH33" s="270">
        <f t="shared" si="35"/>
        <v>51348.87891008483</v>
      </c>
      <c r="BI33" s="301">
        <f>IFERROR(BH33/'Table 12-IUL Census'!$G27,0)</f>
        <v>1.6083124109905085</v>
      </c>
      <c r="BJ33" s="88">
        <f>'Table 12-IUL Census'!$F27*(BH32/($AR32+BH32))</f>
        <v>682.3434461569218</v>
      </c>
      <c r="BK33" s="89">
        <f>'Tables 26a,b-MasterInputs'!$H71</f>
        <v>0</v>
      </c>
      <c r="BL33" s="175">
        <f t="shared" si="20"/>
        <v>0</v>
      </c>
      <c r="BO33" s="137">
        <v>16</v>
      </c>
      <c r="BP33" s="85">
        <v>0</v>
      </c>
      <c r="BQ33" s="302">
        <f>MAX('Table 7-11-IULHostVEDInputs'!F46*(BY32+BP33+BR33+BS33+BT33),0)</f>
        <v>0</v>
      </c>
      <c r="BR33" s="304">
        <f>MAX(-'Tables 26a,b-MasterInputs'!$K71*('Table 12-IUL Census'!$G26*1000/(1+'Tables 26a,b-MasterInputs'!$E46)-(BY32+BP33+BS33+BT33)),-BY32-BS33)*IF(BU32=0,0,1)</f>
        <v>-224348.2476244953</v>
      </c>
      <c r="BS33" s="304">
        <f>-'Tables 26a,b-MasterInputs'!$G71*'Table 12-IUL Census'!$D26*IF(BU32=0,0,1)</f>
        <v>-6703.5825490326852</v>
      </c>
      <c r="BT33" s="304">
        <f>-'Tables 26a,b-MasterInputs'!$F71*BP33</f>
        <v>0</v>
      </c>
      <c r="BU33" s="85">
        <f t="shared" si="21"/>
        <v>1328645.2149193215</v>
      </c>
      <c r="BV33" s="85">
        <f>-BU33*'Tables 26a,b-MasterInputs'!$I71</f>
        <v>-10323.573319923127</v>
      </c>
      <c r="BW33" s="85">
        <f t="shared" si="22"/>
        <v>1318321.6415993983</v>
      </c>
      <c r="BX33" s="85">
        <f>-BW33*'Tables 26a,b-MasterInputs'!$J71</f>
        <v>-52732.865663975936</v>
      </c>
      <c r="BY33" s="299">
        <f t="shared" si="23"/>
        <v>1265588.7759354224</v>
      </c>
      <c r="BZ33" s="107">
        <f>IFERROR(BY33/'Table 12-IUL Census'!$G27,0)</f>
        <v>39.63985541167218</v>
      </c>
      <c r="CA33" s="88">
        <f>'Table 12-IUL Census'!$F27</f>
        <v>1330.2991425253401</v>
      </c>
      <c r="CB33" s="89">
        <f>'Tables 26a,b-MasterInputs'!$H71</f>
        <v>0</v>
      </c>
      <c r="CC33" s="175">
        <f t="shared" si="24"/>
        <v>0</v>
      </c>
      <c r="CD33" s="303">
        <f t="shared" ca="1" si="25"/>
        <v>0</v>
      </c>
      <c r="CE33" s="137">
        <v>16</v>
      </c>
      <c r="CF33" s="85">
        <v>0</v>
      </c>
      <c r="CG33" s="302">
        <f>MAX('Table 7-11-IULHostVEDInputs'!F46*(CO32+CF33+CH33+CI33+CJ33),0)</f>
        <v>0</v>
      </c>
      <c r="CH33" s="300">
        <f t="shared" si="49"/>
        <v>-71386.636516743121</v>
      </c>
      <c r="CI33" s="300">
        <f t="shared" si="50"/>
        <v>-2133.0508076387978</v>
      </c>
      <c r="CJ33" s="300">
        <f t="shared" si="48"/>
        <v>0</v>
      </c>
      <c r="CK33" s="85">
        <f t="shared" si="26"/>
        <v>422769.12800276245</v>
      </c>
      <c r="CL33" s="85">
        <f>-CK33*'Tables 26a,b-MasterInputs'!$I71</f>
        <v>-3284.9161245814644</v>
      </c>
      <c r="CM33" s="85">
        <f t="shared" si="27"/>
        <v>419484.21187818097</v>
      </c>
      <c r="CN33" s="85">
        <f>-CM33*'Tables 26a,b-MasterInputs'!$J71</f>
        <v>-16779.368475127238</v>
      </c>
      <c r="CO33" s="299">
        <f t="shared" si="28"/>
        <v>402704.8434030537</v>
      </c>
      <c r="CP33" s="301">
        <f>IFERROR(CO33/'Table 12-IUL Census'!$G27,0)</f>
        <v>12.613229565249927</v>
      </c>
      <c r="CQ33" s="88">
        <f>'Table 12-IUL Census'!$F27*(CO32/(CO32+DE32+DU32))</f>
        <v>423.29540057268878</v>
      </c>
      <c r="CR33" s="89">
        <f>'Tables 26a,b-MasterInputs'!$H71</f>
        <v>0</v>
      </c>
      <c r="CS33" s="270">
        <f t="shared" si="29"/>
        <v>0</v>
      </c>
      <c r="CU33" s="137">
        <v>16</v>
      </c>
      <c r="CV33" s="85">
        <v>0</v>
      </c>
      <c r="CW33" s="302">
        <f>MAX('Table 7-11-IULHostVEDInputs'!F46*(DE32+CV33+CX33+CY33+CZ33),0)</f>
        <v>0</v>
      </c>
      <c r="CX33" s="300">
        <f t="shared" si="51"/>
        <v>-75175.20695225145</v>
      </c>
      <c r="CY33" s="300">
        <f t="shared" si="52"/>
        <v>-2246.2542532915722</v>
      </c>
      <c r="CZ33" s="300">
        <v>0</v>
      </c>
      <c r="DA33" s="85">
        <f t="shared" si="36"/>
        <v>445205.96909165778</v>
      </c>
      <c r="DB33" s="85">
        <f>-DA33*'Tables 26a,b-MasterInputs'!$I71</f>
        <v>-3459.2503798421808</v>
      </c>
      <c r="DC33" s="85">
        <f t="shared" si="37"/>
        <v>441746.7187118156</v>
      </c>
      <c r="DD33" s="85">
        <f>-DC33*'Tables 26a,b-MasterInputs'!$J71</f>
        <v>-17669.868748472625</v>
      </c>
      <c r="DE33" s="270">
        <f t="shared" si="38"/>
        <v>424076.849963343</v>
      </c>
      <c r="DF33" s="301">
        <f>IFERROR(DE33/'Table 12-IUL Census'!$G27,0)</f>
        <v>13.282628082379638</v>
      </c>
      <c r="DG33" s="88">
        <f>'Table 12-IUL Census'!$F27*(DE32/(CO32+DE32+DU32))</f>
        <v>445.7601715486993</v>
      </c>
      <c r="DH33" s="89">
        <f>'Tables 26a,b-MasterInputs'!$H71</f>
        <v>0</v>
      </c>
      <c r="DI33" s="175">
        <f t="shared" si="30"/>
        <v>0</v>
      </c>
      <c r="DK33" s="137">
        <v>16</v>
      </c>
      <c r="DL33" s="85">
        <v>0</v>
      </c>
      <c r="DM33" s="302">
        <f>MAX('Table 7-11-IULHostVEDInputs'!F46*(DU32+DL33+DN33+DO33+DP33),0)</f>
        <v>0</v>
      </c>
      <c r="DN33" s="300">
        <f t="shared" si="53"/>
        <v>-77786.404155500699</v>
      </c>
      <c r="DO33" s="300">
        <f t="shared" si="54"/>
        <v>-2324.2774881023147</v>
      </c>
      <c r="DP33" s="300">
        <v>0</v>
      </c>
      <c r="DQ33" s="85">
        <f t="shared" si="39"/>
        <v>460670.11782490171</v>
      </c>
      <c r="DR33" s="85">
        <f>-DQ33*'Tables 26a,b-MasterInputs'!$I71</f>
        <v>-3579.4068154994861</v>
      </c>
      <c r="DS33" s="85">
        <f t="shared" si="40"/>
        <v>457090.71100940224</v>
      </c>
      <c r="DT33" s="85">
        <f>-DS33*'Tables 26a,b-MasterInputs'!$J71</f>
        <v>-18283.628440376091</v>
      </c>
      <c r="DU33" s="270">
        <f t="shared" si="41"/>
        <v>438807.08256902616</v>
      </c>
      <c r="DV33" s="301">
        <f>IFERROR(DU33/'Table 12-IUL Census'!$G27,0)</f>
        <v>13.743997764042629</v>
      </c>
      <c r="DW33" s="88">
        <f>'Table 12-IUL Census'!$F27*(DU32/(CO32+DE32+DU32))</f>
        <v>461.24357040395188</v>
      </c>
      <c r="DX33" s="89">
        <f>'Tables 26a,b-MasterInputs'!$H71</f>
        <v>0</v>
      </c>
      <c r="DY33" s="175">
        <f t="shared" si="31"/>
        <v>0</v>
      </c>
      <c r="EJ33" s="88"/>
      <c r="EK33" s="88"/>
      <c r="EL33" s="88"/>
      <c r="EM33" s="88"/>
      <c r="EN33" s="88"/>
      <c r="EO33" s="85"/>
      <c r="EP33" s="85"/>
      <c r="EQ33" s="85"/>
    </row>
    <row r="34" spans="1:202" x14ac:dyDescent="0.25">
      <c r="A34" s="137">
        <v>17</v>
      </c>
      <c r="B34" s="85">
        <v>0</v>
      </c>
      <c r="C34" s="174">
        <f>MAX('Table 7-11-IULHostVEDInputs'!F47*(K33+B34+D34+E34+F34),0)</f>
        <v>0</v>
      </c>
      <c r="D34" s="174">
        <f>MAX(-'Tables 26a,b-MasterInputs'!$K72*('Table 12-IUL Census'!$G27*1000/(1+'Tables 26a,b-MasterInputs'!$E47)-(K33+B34+E34+F34)),-K33-E34)*IF(G33=0,0,1)</f>
        <v>0</v>
      </c>
      <c r="E34" s="174">
        <f>-'Tables 26a,b-MasterInputs'!$G72*'Table 12-IUL Census'!D27*IF(G33=0,0,1)</f>
        <v>0</v>
      </c>
      <c r="F34" s="174">
        <f>-'Tables 26a,b-MasterInputs'!$F72*B34</f>
        <v>0</v>
      </c>
      <c r="G34" s="85">
        <f t="shared" si="55"/>
        <v>0</v>
      </c>
      <c r="H34" s="85">
        <f>-G34*'Tables 26a,b-MasterInputs'!$I72</f>
        <v>0</v>
      </c>
      <c r="I34" s="85">
        <f t="shared" si="9"/>
        <v>0</v>
      </c>
      <c r="J34" s="85">
        <f>-I34*'Tables 26a,b-MasterInputs'!$J72</f>
        <v>0</v>
      </c>
      <c r="K34" s="299">
        <f t="shared" si="10"/>
        <v>0</v>
      </c>
      <c r="L34" s="107">
        <f>IFERROR(K34/'Table 12-IUL Census'!$G28,0)</f>
        <v>0</v>
      </c>
      <c r="M34" s="88">
        <f>'Table 12-IUL Census'!F28</f>
        <v>1266.2574775648561</v>
      </c>
      <c r="N34" s="89">
        <f>'Tables 26a,b-MasterInputs'!$H72</f>
        <v>0</v>
      </c>
      <c r="O34" s="175">
        <f t="shared" si="11"/>
        <v>0</v>
      </c>
      <c r="R34" s="137">
        <v>17</v>
      </c>
      <c r="S34" s="85">
        <v>0</v>
      </c>
      <c r="T34" s="300">
        <f>MAX('Table 7-11-IULHostVEDInputs'!F47*(AB33+S34+U34+V34+W34),0)</f>
        <v>0</v>
      </c>
      <c r="U34" s="174">
        <f>MAX(-'Tables 26a,b-MasterInputs'!$K72*('Table 12-IUL Census'!$G27*1000/(1+'Tables 26a,b-MasterInputs'!$E47)-(AB33+S34+V34+W34)),-AB33-V34)*IF(X33=0,0,1)</f>
        <v>-93724.516030055194</v>
      </c>
      <c r="V34" s="174">
        <f>-'Tables 26a,b-MasterInputs'!$G72*'Table 12-IUL Census'!$D27*IF(X33=0,0,1)</f>
        <v>-6385.4358841216326</v>
      </c>
      <c r="W34" s="174">
        <f>-'Tables 26a,b-MasterInputs'!$F72*S34</f>
        <v>0</v>
      </c>
      <c r="X34" s="85">
        <f t="shared" si="12"/>
        <v>0</v>
      </c>
      <c r="Y34" s="85">
        <f>-X34*'Tables 26a,b-MasterInputs'!$I72</f>
        <v>0</v>
      </c>
      <c r="Z34" s="85">
        <f t="shared" si="13"/>
        <v>0</v>
      </c>
      <c r="AA34" s="85">
        <f>-Z34*'Tables 26a,b-MasterInputs'!$J72</f>
        <v>0</v>
      </c>
      <c r="AB34" s="299">
        <f t="shared" si="14"/>
        <v>0</v>
      </c>
      <c r="AC34" s="107">
        <f>IFERROR(AB34/'Table 12-IUL Census'!G28,0)</f>
        <v>0</v>
      </c>
      <c r="AD34" s="88">
        <f>'Table 12-IUL Census'!F28</f>
        <v>1266.2574775648561</v>
      </c>
      <c r="AE34" s="89">
        <f>'Tables 26a,b-MasterInputs'!$H72</f>
        <v>0</v>
      </c>
      <c r="AF34" s="175">
        <f t="shared" si="15"/>
        <v>0</v>
      </c>
      <c r="AG34" s="303">
        <f t="shared" ca="1" si="32"/>
        <v>3.3469405025243759E-10</v>
      </c>
      <c r="AH34" s="137">
        <v>17</v>
      </c>
      <c r="AI34" s="85">
        <v>0</v>
      </c>
      <c r="AJ34" s="300">
        <f>MAX('Table 7-11-IULHostVEDInputs'!F47*(AR33+AI34+AK34+AL34+AM34),0)</f>
        <v>0</v>
      </c>
      <c r="AK34" s="300">
        <f t="shared" si="42"/>
        <v>-45650.88566152376</v>
      </c>
      <c r="AL34" s="300">
        <f t="shared" si="43"/>
        <v>-3110.1873425684084</v>
      </c>
      <c r="AM34" s="300">
        <f t="shared" si="44"/>
        <v>0</v>
      </c>
      <c r="AN34" s="85">
        <f t="shared" si="16"/>
        <v>1.6007106751203537E-10</v>
      </c>
      <c r="AO34" s="85">
        <f>-AN34*'Tables 26a,b-MasterInputs'!$I72</f>
        <v>-1.35740265250206E-12</v>
      </c>
      <c r="AP34" s="85">
        <f t="shared" si="17"/>
        <v>1.5871366485953331E-10</v>
      </c>
      <c r="AQ34" s="85">
        <f>-AP34*'Tables 26a,b-MasterInputs'!$J72</f>
        <v>-6.3485465943813326E-12</v>
      </c>
      <c r="AR34" s="299">
        <f t="shared" si="18"/>
        <v>1.5236511826515197E-10</v>
      </c>
      <c r="AS34" s="301">
        <f>IFERROR(AR34/'Table 12-IUL Census'!$G28,0)</f>
        <v>5.0136300925071311E-15</v>
      </c>
      <c r="AT34" s="88">
        <f>'Table 12-IUL Census'!$F28*(AR33/($AR33+BH33))</f>
        <v>616.76259078068551</v>
      </c>
      <c r="AU34" s="89">
        <f>'Tables 26a,b-MasterInputs'!$H72</f>
        <v>0</v>
      </c>
      <c r="AV34" s="270">
        <f t="shared" si="19"/>
        <v>0</v>
      </c>
      <c r="AW34" s="120"/>
      <c r="AX34" s="137">
        <v>17</v>
      </c>
      <c r="AY34" s="85">
        <v>0</v>
      </c>
      <c r="AZ34" s="300">
        <f>MAX('Table 7-11-IULHostVEDInputs'!F47*(BH33+AY34+BA34+BB34+BC34),0)</f>
        <v>0</v>
      </c>
      <c r="BA34" s="300">
        <f t="shared" si="45"/>
        <v>-48073.630368531434</v>
      </c>
      <c r="BB34" s="300">
        <f t="shared" si="46"/>
        <v>-3275.2485415532242</v>
      </c>
      <c r="BC34" s="300">
        <f t="shared" si="47"/>
        <v>0</v>
      </c>
      <c r="BD34" s="85">
        <f t="shared" si="33"/>
        <v>1.7462298274040222E-10</v>
      </c>
      <c r="BE34" s="85">
        <f>-BD34*'Tables 26a,b-MasterInputs'!$I72</f>
        <v>-1.4808028936386107E-12</v>
      </c>
      <c r="BF34" s="85">
        <f t="shared" si="34"/>
        <v>1.731421798467636E-10</v>
      </c>
      <c r="BG34" s="85">
        <f>-BF34*'Tables 26a,b-MasterInputs'!$J72</f>
        <v>-6.9256871938705446E-12</v>
      </c>
      <c r="BH34" s="270">
        <f t="shared" si="35"/>
        <v>1.6621649265289305E-10</v>
      </c>
      <c r="BI34" s="301">
        <f>IFERROR(BH34/'Table 12-IUL Census'!$G28,0)</f>
        <v>5.4694146463714156E-15</v>
      </c>
      <c r="BJ34" s="88">
        <f>'Table 12-IUL Census'!$F28*(BH33/($AR33+BH33))</f>
        <v>649.4948867841706</v>
      </c>
      <c r="BK34" s="89">
        <f>'Tables 26a,b-MasterInputs'!$H72</f>
        <v>0</v>
      </c>
      <c r="BL34" s="175">
        <f t="shared" si="20"/>
        <v>0</v>
      </c>
      <c r="BO34" s="137">
        <v>17</v>
      </c>
      <c r="BP34" s="85">
        <v>0</v>
      </c>
      <c r="BQ34" s="302">
        <f>MAX('Table 7-11-IULHostVEDInputs'!F47*(BY33+BP34+BR34+BS34+BT34),0)</f>
        <v>0</v>
      </c>
      <c r="BR34" s="304">
        <f>MAX(-'Tables 26a,b-MasterInputs'!$K72*('Table 12-IUL Census'!$G27*1000/(1+'Tables 26a,b-MasterInputs'!$E47)-(BY33+BP34+BS34+BT34)),-BY33-BS34)*IF(BU33=0,0,1)</f>
        <v>-234958.31177855015</v>
      </c>
      <c r="BS34" s="304">
        <f>-'Tables 26a,b-MasterInputs'!$G72*'Table 12-IUL Census'!$D27*IF(BU33=0,0,1)</f>
        <v>-6385.4358841216326</v>
      </c>
      <c r="BT34" s="304">
        <f>-'Tables 26a,b-MasterInputs'!$F72*BP34</f>
        <v>0</v>
      </c>
      <c r="BU34" s="85">
        <f t="shared" si="21"/>
        <v>1024245.0282727506</v>
      </c>
      <c r="BV34" s="85">
        <f>-BU34*'Tables 26a,b-MasterInputs'!$I72</f>
        <v>-8685.5978397529252</v>
      </c>
      <c r="BW34" s="85">
        <f t="shared" si="22"/>
        <v>1015559.4304329976</v>
      </c>
      <c r="BX34" s="85">
        <f>-BW34*'Tables 26a,b-MasterInputs'!$J72</f>
        <v>-40622.377217319903</v>
      </c>
      <c r="BY34" s="299">
        <f t="shared" si="23"/>
        <v>974937.05321567773</v>
      </c>
      <c r="BZ34" s="107">
        <f>IFERROR(BY34/'Table 12-IUL Census'!$G28,0)</f>
        <v>32.080661269176439</v>
      </c>
      <c r="CA34" s="88">
        <f>'Table 12-IUL Census'!$F28</f>
        <v>1266.2574775648561</v>
      </c>
      <c r="CB34" s="89">
        <f>'Tables 26a,b-MasterInputs'!$H72</f>
        <v>0</v>
      </c>
      <c r="CC34" s="175">
        <f t="shared" si="24"/>
        <v>0</v>
      </c>
      <c r="CD34" s="303">
        <f t="shared" ca="1" si="25"/>
        <v>0</v>
      </c>
      <c r="CE34" s="137">
        <v>17</v>
      </c>
      <c r="CF34" s="85">
        <v>0</v>
      </c>
      <c r="CG34" s="302">
        <f>MAX('Table 7-11-IULHostVEDInputs'!F47*(CO33+CF34+CH34+CI34+CJ34),0)</f>
        <v>0</v>
      </c>
      <c r="CH34" s="300">
        <f t="shared" si="49"/>
        <v>-74762.712778558067</v>
      </c>
      <c r="CI34" s="300">
        <f t="shared" si="50"/>
        <v>-2031.8179227489063</v>
      </c>
      <c r="CJ34" s="300">
        <f t="shared" si="48"/>
        <v>0</v>
      </c>
      <c r="CK34" s="85">
        <f t="shared" si="26"/>
        <v>325910.3127017467</v>
      </c>
      <c r="CL34" s="85">
        <f>-CK34*'Tables 26a,b-MasterInputs'!$I72</f>
        <v>-2763.7194517108119</v>
      </c>
      <c r="CM34" s="85">
        <f t="shared" si="27"/>
        <v>323146.59325003589</v>
      </c>
      <c r="CN34" s="85">
        <f>-CM34*'Tables 26a,b-MasterInputs'!$J72</f>
        <v>-12925.863730001436</v>
      </c>
      <c r="CO34" s="299">
        <f t="shared" si="28"/>
        <v>310220.72952003445</v>
      </c>
      <c r="CP34" s="301">
        <f>IFERROR(CO34/'Table 12-IUL Census'!$G28,0)</f>
        <v>10.207926870338579</v>
      </c>
      <c r="CQ34" s="88">
        <f>'Table 12-IUL Census'!$F28*(CO33/(CO33+DE33+DU33))</f>
        <v>402.91762135279907</v>
      </c>
      <c r="CR34" s="89">
        <f>'Tables 26a,b-MasterInputs'!$H72</f>
        <v>0</v>
      </c>
      <c r="CS34" s="270">
        <f t="shared" si="29"/>
        <v>0</v>
      </c>
      <c r="CU34" s="137">
        <v>17</v>
      </c>
      <c r="CV34" s="85">
        <v>0</v>
      </c>
      <c r="CW34" s="302">
        <f>MAX('Table 7-11-IULHostVEDInputs'!F47*(DE33+CV34+CX34+CY34+CZ34),0)</f>
        <v>0</v>
      </c>
      <c r="CX34" s="300">
        <f t="shared" si="51"/>
        <v>-78730.455442058039</v>
      </c>
      <c r="CY34" s="300">
        <f t="shared" si="52"/>
        <v>-2139.6488234337567</v>
      </c>
      <c r="CZ34" s="300">
        <v>0</v>
      </c>
      <c r="DA34" s="85">
        <f t="shared" si="36"/>
        <v>343206.74569785118</v>
      </c>
      <c r="DB34" s="85">
        <f>-DA34*'Tables 26a,b-MasterInputs'!$I72</f>
        <v>-2910.3932035177777</v>
      </c>
      <c r="DC34" s="85">
        <f t="shared" si="37"/>
        <v>340296.35249433341</v>
      </c>
      <c r="DD34" s="85">
        <f>-DC34*'Tables 26a,b-MasterInputs'!$J72</f>
        <v>-13611.854099773336</v>
      </c>
      <c r="DE34" s="270">
        <f t="shared" si="38"/>
        <v>326684.49839456007</v>
      </c>
      <c r="DF34" s="301">
        <f>IFERROR(DE34/'Table 12-IUL Census'!$G28,0)</f>
        <v>10.749673222819064</v>
      </c>
      <c r="DG34" s="88">
        <f>'Table 12-IUL Census'!$F28*(DE33/(CO33+DE33+DU33))</f>
        <v>424.3009202822077</v>
      </c>
      <c r="DH34" s="89">
        <f>'Tables 26a,b-MasterInputs'!$H72</f>
        <v>0</v>
      </c>
      <c r="DI34" s="175">
        <f t="shared" si="30"/>
        <v>0</v>
      </c>
      <c r="DK34" s="137">
        <v>17</v>
      </c>
      <c r="DL34" s="85">
        <v>0</v>
      </c>
      <c r="DM34" s="302">
        <f>MAX('Table 7-11-IULHostVEDInputs'!F47*(DU33+DL34+DN34+DO34+DP34),0)</f>
        <v>0</v>
      </c>
      <c r="DN34" s="300">
        <f t="shared" si="53"/>
        <v>-81465.143557934047</v>
      </c>
      <c r="DO34" s="300">
        <f t="shared" si="54"/>
        <v>-2213.9691379389697</v>
      </c>
      <c r="DP34" s="300">
        <v>0</v>
      </c>
      <c r="DQ34" s="85">
        <f t="shared" si="39"/>
        <v>355127.96987315314</v>
      </c>
      <c r="DR34" s="85">
        <f>-DQ34*'Tables 26a,b-MasterInputs'!$I72</f>
        <v>-3011.4851845243384</v>
      </c>
      <c r="DS34" s="85">
        <f t="shared" si="40"/>
        <v>352116.48468862881</v>
      </c>
      <c r="DT34" s="85">
        <f>-DS34*'Tables 26a,b-MasterInputs'!$J72</f>
        <v>-14084.659387545153</v>
      </c>
      <c r="DU34" s="270">
        <f t="shared" si="41"/>
        <v>338031.82530108368</v>
      </c>
      <c r="DV34" s="301">
        <f>IFERROR(DU34/'Table 12-IUL Census'!$G28,0)</f>
        <v>11.123061176018812</v>
      </c>
      <c r="DW34" s="88">
        <f>'Table 12-IUL Census'!$F28*(DU33/(CO33+DE33+DU33))</f>
        <v>439.03893592984934</v>
      </c>
      <c r="DX34" s="89">
        <f>'Tables 26a,b-MasterInputs'!$H72</f>
        <v>0</v>
      </c>
      <c r="DY34" s="175">
        <f t="shared" si="31"/>
        <v>0</v>
      </c>
      <c r="EJ34" s="88"/>
      <c r="EK34" s="88"/>
      <c r="EL34" s="88"/>
      <c r="EM34" s="88"/>
      <c r="EN34" s="88"/>
      <c r="EO34" s="85"/>
      <c r="EP34" s="85"/>
      <c r="EQ34" s="85"/>
    </row>
    <row r="35" spans="1:202" x14ac:dyDescent="0.25">
      <c r="A35" s="137">
        <v>18</v>
      </c>
      <c r="B35" s="85">
        <v>0</v>
      </c>
      <c r="C35" s="174">
        <f>MAX('Table 7-11-IULHostVEDInputs'!F48*(K34+B35+D35+E35+F35),0)</f>
        <v>0</v>
      </c>
      <c r="D35" s="174">
        <f>MAX(-'Tables 26a,b-MasterInputs'!$K73*('Table 12-IUL Census'!$G28*1000/(1+'Tables 26a,b-MasterInputs'!$E48)-(K34+B35+E35+F35)),-K34-E35)*IF(G34=0,0,1)</f>
        <v>0</v>
      </c>
      <c r="E35" s="174">
        <f>-'Tables 26a,b-MasterInputs'!$G73*'Table 12-IUL Census'!D28*IF(G34=0,0,1)</f>
        <v>0</v>
      </c>
      <c r="F35" s="174">
        <f>-'Tables 26a,b-MasterInputs'!$F73*B35</f>
        <v>0</v>
      </c>
      <c r="G35" s="85">
        <f t="shared" si="55"/>
        <v>0</v>
      </c>
      <c r="H35" s="85">
        <f>-G35*'Tables 26a,b-MasterInputs'!$I73</f>
        <v>0</v>
      </c>
      <c r="I35" s="85">
        <f t="shared" si="9"/>
        <v>0</v>
      </c>
      <c r="J35" s="85">
        <f>-I35*'Tables 26a,b-MasterInputs'!$J73</f>
        <v>0</v>
      </c>
      <c r="K35" s="299">
        <f t="shared" si="10"/>
        <v>0</v>
      </c>
      <c r="L35" s="107">
        <f>IFERROR(K35/'Table 12-IUL Census'!$G29,0)</f>
        <v>0</v>
      </c>
      <c r="M35" s="88">
        <f>'Table 12-IUL Census'!F29</f>
        <v>1204.3020317025628</v>
      </c>
      <c r="N35" s="89">
        <f>'Tables 26a,b-MasterInputs'!$H73</f>
        <v>0</v>
      </c>
      <c r="O35" s="175">
        <f t="shared" si="11"/>
        <v>0</v>
      </c>
      <c r="R35" s="137">
        <v>18</v>
      </c>
      <c r="S35" s="85">
        <v>0</v>
      </c>
      <c r="T35" s="300">
        <f>MAX('Table 7-11-IULHostVEDInputs'!F48*(AB34+S35+U35+V35+W35),0)</f>
        <v>0</v>
      </c>
      <c r="U35" s="174">
        <f>MAX(-'Tables 26a,b-MasterInputs'!$K73*('Table 12-IUL Census'!$G28*1000/(1+'Tables 26a,b-MasterInputs'!$E48)-(AB34+S35+V35+W35)),-AB34-V35)*IF(X34=0,0,1)</f>
        <v>0</v>
      </c>
      <c r="V35" s="174">
        <f>-'Tables 26a,b-MasterInputs'!$G73*'Table 12-IUL Census'!$D28*IF(X34=0,0,1)</f>
        <v>0</v>
      </c>
      <c r="W35" s="174">
        <f>-'Tables 26a,b-MasterInputs'!$F73*S35</f>
        <v>0</v>
      </c>
      <c r="X35" s="85">
        <f t="shared" si="12"/>
        <v>0</v>
      </c>
      <c r="Y35" s="85">
        <f>-X35*'Tables 26a,b-MasterInputs'!$I73</f>
        <v>0</v>
      </c>
      <c r="Z35" s="85">
        <f t="shared" si="13"/>
        <v>0</v>
      </c>
      <c r="AA35" s="85">
        <f>-Z35*'Tables 26a,b-MasterInputs'!$J73</f>
        <v>0</v>
      </c>
      <c r="AB35" s="299">
        <f t="shared" si="14"/>
        <v>0</v>
      </c>
      <c r="AC35" s="107">
        <f>IFERROR(AB35/'Table 12-IUL Census'!G29,0)</f>
        <v>0</v>
      </c>
      <c r="AD35" s="88">
        <f>'Table 12-IUL Census'!F29</f>
        <v>1204.3020317025628</v>
      </c>
      <c r="AE35" s="89">
        <f>'Tables 26a,b-MasterInputs'!$H73</f>
        <v>0</v>
      </c>
      <c r="AF35" s="175">
        <f t="shared" si="15"/>
        <v>0</v>
      </c>
      <c r="AG35" s="303">
        <f t="shared" ca="1" si="32"/>
        <v>3.1858161091804504E-10</v>
      </c>
      <c r="AH35" s="137">
        <v>18</v>
      </c>
      <c r="AI35" s="85">
        <v>0</v>
      </c>
      <c r="AJ35" s="300">
        <f>MAX('Table 7-11-IULHostVEDInputs'!F48*(AR34+AI35+AK35+AL35+AM35),0)</f>
        <v>0</v>
      </c>
      <c r="AK35" s="300">
        <f t="shared" si="42"/>
        <v>0</v>
      </c>
      <c r="AL35" s="300">
        <f t="shared" si="43"/>
        <v>0</v>
      </c>
      <c r="AM35" s="300">
        <f t="shared" si="44"/>
        <v>0</v>
      </c>
      <c r="AN35" s="85">
        <f t="shared" si="16"/>
        <v>1.5236511826515197E-10</v>
      </c>
      <c r="AO35" s="85">
        <f>-AN35*'Tables 26a,b-MasterInputs'!$I73</f>
        <v>-1.4169955998659131E-12</v>
      </c>
      <c r="AP35" s="85">
        <f t="shared" si="17"/>
        <v>1.5094812266528606E-10</v>
      </c>
      <c r="AQ35" s="85">
        <f>-AP35*'Tables 26a,b-MasterInputs'!$J73</f>
        <v>-6.0379249066114424E-12</v>
      </c>
      <c r="AR35" s="299">
        <f t="shared" si="18"/>
        <v>1.4491019775867462E-10</v>
      </c>
      <c r="AS35" s="301">
        <f>IFERROR(AR35/'Table 12-IUL Census'!$G29,0)</f>
        <v>5.0136300925071311E-15</v>
      </c>
      <c r="AT35" s="88">
        <f>'Table 12-IUL Census'!$F29*(AR34/($AR34+BH34))</f>
        <v>575.97053690122561</v>
      </c>
      <c r="AU35" s="89">
        <f>'Tables 26a,b-MasterInputs'!$H73</f>
        <v>0</v>
      </c>
      <c r="AV35" s="270">
        <f t="shared" si="19"/>
        <v>0</v>
      </c>
      <c r="AW35" s="120"/>
      <c r="AX35" s="137">
        <v>18</v>
      </c>
      <c r="AY35" s="85">
        <v>0</v>
      </c>
      <c r="AZ35" s="300">
        <f>MAX('Table 7-11-IULHostVEDInputs'!F48*(BH34+AY35+BA35+BB35+BC35),0)</f>
        <v>0</v>
      </c>
      <c r="BA35" s="300">
        <f t="shared" si="45"/>
        <v>0</v>
      </c>
      <c r="BB35" s="300">
        <f t="shared" si="46"/>
        <v>0</v>
      </c>
      <c r="BC35" s="300">
        <f t="shared" si="47"/>
        <v>0</v>
      </c>
      <c r="BD35" s="85">
        <f t="shared" si="33"/>
        <v>1.6621649265289305E-10</v>
      </c>
      <c r="BE35" s="85">
        <f>-BD35*'Tables 26a,b-MasterInputs'!$I73</f>
        <v>-1.5458133816719053E-12</v>
      </c>
      <c r="BF35" s="85">
        <f t="shared" si="34"/>
        <v>1.6467067927122115E-10</v>
      </c>
      <c r="BG35" s="85">
        <f>-BF35*'Tables 26a,b-MasterInputs'!$J73</f>
        <v>-6.5868271708488463E-12</v>
      </c>
      <c r="BH35" s="270">
        <f t="shared" si="35"/>
        <v>1.580838521003723E-10</v>
      </c>
      <c r="BI35" s="301">
        <f>IFERROR(BH35/'Table 12-IUL Census'!$G29,0)</f>
        <v>5.4694146463714156E-15</v>
      </c>
      <c r="BJ35" s="88">
        <f>'Table 12-IUL Census'!$F29*(BH34/($AR34+BH34))</f>
        <v>628.33149480133704</v>
      </c>
      <c r="BK35" s="89">
        <f>'Tables 26a,b-MasterInputs'!$H73</f>
        <v>0</v>
      </c>
      <c r="BL35" s="175">
        <f t="shared" si="20"/>
        <v>0</v>
      </c>
      <c r="BO35" s="137">
        <v>18</v>
      </c>
      <c r="BP35" s="85">
        <v>0</v>
      </c>
      <c r="BQ35" s="302">
        <f>MAX('Table 7-11-IULHostVEDInputs'!F48*(BY34+BP35+BR35+BS35+BT35),0)</f>
        <v>0</v>
      </c>
      <c r="BR35" s="304">
        <f>MAX(-'Tables 26a,b-MasterInputs'!$K73*('Table 12-IUL Census'!$G28*1000/(1+'Tables 26a,b-MasterInputs'!$E48)-(BY34+BP35+BS35+BT35)),-BY34-BS35)*IF(BU34=0,0,1)</f>
        <v>-247253.98040968034</v>
      </c>
      <c r="BS35" s="304">
        <f>-'Tables 26a,b-MasterInputs'!$G73*'Table 12-IUL Census'!$D28*IF(BU34=0,0,1)</f>
        <v>-6078.035892311309</v>
      </c>
      <c r="BT35" s="304">
        <f>-'Tables 26a,b-MasterInputs'!$F73*BP35</f>
        <v>0</v>
      </c>
      <c r="BU35" s="85">
        <f t="shared" si="21"/>
        <v>721605.03691368608</v>
      </c>
      <c r="BV35" s="85">
        <f>-BU35*'Tables 26a,b-MasterInputs'!$I73</f>
        <v>-6710.9268432972804</v>
      </c>
      <c r="BW35" s="85">
        <f t="shared" si="22"/>
        <v>714894.11007038876</v>
      </c>
      <c r="BX35" s="85">
        <f>-BW35*'Tables 26a,b-MasterInputs'!$J73</f>
        <v>-28595.764402815552</v>
      </c>
      <c r="BY35" s="299">
        <f t="shared" si="23"/>
        <v>686298.34566757316</v>
      </c>
      <c r="BZ35" s="107">
        <f>IFERROR(BY35/'Table 12-IUL Census'!$G29,0)</f>
        <v>23.744678369751448</v>
      </c>
      <c r="CA35" s="88">
        <f>'Table 12-IUL Census'!$F29</f>
        <v>1204.3020317025628</v>
      </c>
      <c r="CB35" s="89">
        <f>'Tables 26a,b-MasterInputs'!$H73</f>
        <v>0</v>
      </c>
      <c r="CC35" s="175">
        <f t="shared" si="24"/>
        <v>0</v>
      </c>
      <c r="CD35" s="303">
        <f t="shared" ca="1" si="25"/>
        <v>0</v>
      </c>
      <c r="CE35" s="137">
        <v>18</v>
      </c>
      <c r="CF35" s="85">
        <v>0</v>
      </c>
      <c r="CG35" s="302">
        <f>MAX('Table 7-11-IULHostVEDInputs'!F48*(CO34+CF35+CH35+CI35+CJ35),0)</f>
        <v>0</v>
      </c>
      <c r="CH35" s="300">
        <f t="shared" si="49"/>
        <v>-78675.141052880688</v>
      </c>
      <c r="CI35" s="300">
        <f t="shared" si="50"/>
        <v>-1934.004582493435</v>
      </c>
      <c r="CJ35" s="300">
        <f t="shared" si="48"/>
        <v>0</v>
      </c>
      <c r="CK35" s="85">
        <f t="shared" si="26"/>
        <v>229611.58388466033</v>
      </c>
      <c r="CL35" s="85">
        <f>-CK35*'Tables 26a,b-MasterInputs'!$I73</f>
        <v>-2135.387730127341</v>
      </c>
      <c r="CM35" s="85">
        <f t="shared" si="27"/>
        <v>227476.19615453298</v>
      </c>
      <c r="CN35" s="85">
        <f>-CM35*'Tables 26a,b-MasterInputs'!$J73</f>
        <v>-9099.04784618132</v>
      </c>
      <c r="CO35" s="299">
        <f t="shared" si="28"/>
        <v>218377.14830835167</v>
      </c>
      <c r="CP35" s="301">
        <f>IFERROR(CO35/'Table 12-IUL Census'!$G29,0)</f>
        <v>7.5554533718735746</v>
      </c>
      <c r="CQ35" s="88">
        <f>'Table 12-IUL Census'!$F29*(CO34/(CO34+DE34+DU34))</f>
        <v>383.20366797524923</v>
      </c>
      <c r="CR35" s="89">
        <f>'Tables 26a,b-MasterInputs'!$H73</f>
        <v>0</v>
      </c>
      <c r="CS35" s="270">
        <f t="shared" si="29"/>
        <v>0</v>
      </c>
      <c r="CU35" s="137">
        <v>18</v>
      </c>
      <c r="CV35" s="85">
        <v>0</v>
      </c>
      <c r="CW35" s="302">
        <f>MAX('Table 7-11-IULHostVEDInputs'!F48*(DE34+CV35+CX35+CY35+CZ35),0)</f>
        <v>0</v>
      </c>
      <c r="CX35" s="300">
        <f t="shared" si="51"/>
        <v>-82850.520759031759</v>
      </c>
      <c r="CY35" s="300">
        <f t="shared" si="52"/>
        <v>-2036.6444173545965</v>
      </c>
      <c r="CZ35" s="300">
        <v>0</v>
      </c>
      <c r="DA35" s="85">
        <f t="shared" si="36"/>
        <v>241797.33321817371</v>
      </c>
      <c r="DB35" s="85">
        <f>-DA35*'Tables 26a,b-MasterInputs'!$I73</f>
        <v>-2248.7151989290151</v>
      </c>
      <c r="DC35" s="85">
        <f t="shared" si="37"/>
        <v>239548.61801924469</v>
      </c>
      <c r="DD35" s="85">
        <f>-DC35*'Tables 26a,b-MasterInputs'!$J73</f>
        <v>-9581.9447207697885</v>
      </c>
      <c r="DE35" s="270">
        <f t="shared" si="38"/>
        <v>229966.6732984749</v>
      </c>
      <c r="DF35" s="301">
        <f>IFERROR(DE35/'Table 12-IUL Census'!$G29,0)</f>
        <v>7.9564299225033039</v>
      </c>
      <c r="DG35" s="88">
        <f>'Table 12-IUL Census'!$F29*(DE34/(CO34+DE34+DU34))</f>
        <v>403.54072485463973</v>
      </c>
      <c r="DH35" s="89">
        <f>'Tables 26a,b-MasterInputs'!$H73</f>
        <v>0</v>
      </c>
      <c r="DI35" s="175">
        <f t="shared" si="30"/>
        <v>0</v>
      </c>
      <c r="DK35" s="137">
        <v>18</v>
      </c>
      <c r="DL35" s="85">
        <v>0</v>
      </c>
      <c r="DM35" s="302">
        <f>MAX('Table 7-11-IULHostVEDInputs'!F48*(DU34+DL35+DN35+DO35+DP35),0)</f>
        <v>0</v>
      </c>
      <c r="DN35" s="300">
        <f t="shared" si="53"/>
        <v>-85728.318597767866</v>
      </c>
      <c r="DO35" s="300">
        <f t="shared" si="54"/>
        <v>-2107.386892463277</v>
      </c>
      <c r="DP35" s="300">
        <v>0</v>
      </c>
      <c r="DQ35" s="85">
        <f t="shared" si="39"/>
        <v>250196.11981085254</v>
      </c>
      <c r="DR35" s="85">
        <f>-DQ35*'Tables 26a,b-MasterInputs'!$I73</f>
        <v>-2326.8239142409284</v>
      </c>
      <c r="DS35" s="85">
        <f t="shared" si="40"/>
        <v>247869.29589661161</v>
      </c>
      <c r="DT35" s="85">
        <f>-DS35*'Tables 26a,b-MasterInputs'!$J73</f>
        <v>-9914.7718358644652</v>
      </c>
      <c r="DU35" s="270">
        <f t="shared" si="41"/>
        <v>237954.52406074715</v>
      </c>
      <c r="DV35" s="301">
        <f>IFERROR(DU35/'Table 12-IUL Census'!$G29,0)</f>
        <v>8.2327950753745878</v>
      </c>
      <c r="DW35" s="88">
        <f>'Table 12-IUL Census'!$F29*(DU34/(CO34+DE34+DU34))</f>
        <v>417.55763887267369</v>
      </c>
      <c r="DX35" s="89">
        <f>'Tables 26a,b-MasterInputs'!$H73</f>
        <v>0</v>
      </c>
      <c r="DY35" s="175">
        <f t="shared" si="31"/>
        <v>0</v>
      </c>
      <c r="EJ35" s="88"/>
      <c r="EK35" s="88"/>
      <c r="EL35" s="88"/>
      <c r="EM35" s="88"/>
      <c r="EN35" s="88"/>
      <c r="EO35" s="85"/>
      <c r="EP35" s="85"/>
      <c r="EQ35" s="85"/>
    </row>
    <row r="36" spans="1:202" x14ac:dyDescent="0.25">
      <c r="A36" s="137">
        <v>19</v>
      </c>
      <c r="B36" s="85">
        <v>0</v>
      </c>
      <c r="C36" s="174">
        <f>MAX('Table 7-11-IULHostVEDInputs'!F49*(K35+B36+D36+E36+F36),0)</f>
        <v>0</v>
      </c>
      <c r="D36" s="174">
        <f>MAX(-'Tables 26a,b-MasterInputs'!$K74*('Table 12-IUL Census'!$G29*1000/(1+'Tables 26a,b-MasterInputs'!$E49)-(K35+B36+E36+F36)),-K35-E36)*IF(G35=0,0,1)</f>
        <v>0</v>
      </c>
      <c r="E36" s="174">
        <f>-'Tables 26a,b-MasterInputs'!$G74*'Table 12-IUL Census'!D29*IF(G35=0,0,1)</f>
        <v>0</v>
      </c>
      <c r="F36" s="174">
        <f>-'Tables 26a,b-MasterInputs'!$F74*B36</f>
        <v>0</v>
      </c>
      <c r="G36" s="85">
        <f t="shared" si="55"/>
        <v>0</v>
      </c>
      <c r="H36" s="85">
        <f>-G36*'Tables 26a,b-MasterInputs'!$I74</f>
        <v>0</v>
      </c>
      <c r="I36" s="85">
        <f t="shared" si="9"/>
        <v>0</v>
      </c>
      <c r="J36" s="85">
        <f>-I36*'Tables 26a,b-MasterInputs'!$J74</f>
        <v>0</v>
      </c>
      <c r="K36" s="299">
        <f t="shared" si="10"/>
        <v>0</v>
      </c>
      <c r="L36" s="107">
        <f>IFERROR(K36/'Table 12-IUL Census'!$G30,0)</f>
        <v>0</v>
      </c>
      <c r="M36" s="88">
        <f>'Table 12-IUL Census'!F30</f>
        <v>1144.31430234102</v>
      </c>
      <c r="N36" s="89">
        <f>'Tables 26a,b-MasterInputs'!$H74</f>
        <v>0</v>
      </c>
      <c r="O36" s="175">
        <f t="shared" si="11"/>
        <v>0</v>
      </c>
      <c r="R36" s="137">
        <v>19</v>
      </c>
      <c r="S36" s="85">
        <v>0</v>
      </c>
      <c r="T36" s="300">
        <f>MAX('Table 7-11-IULHostVEDInputs'!F49*(AB35+S36+U36+V36+W36),0)</f>
        <v>0</v>
      </c>
      <c r="U36" s="174">
        <f>MAX(-'Tables 26a,b-MasterInputs'!$K74*('Table 12-IUL Census'!$G29*1000/(1+'Tables 26a,b-MasterInputs'!$E49)-(AB35+S36+V36+W36)),-AB35-V36)*IF(X35=0,0,1)</f>
        <v>0</v>
      </c>
      <c r="V36" s="174">
        <f>-'Tables 26a,b-MasterInputs'!$G74*'Table 12-IUL Census'!$D29*IF(X35=0,0,1)</f>
        <v>0</v>
      </c>
      <c r="W36" s="174">
        <f>-'Tables 26a,b-MasterInputs'!$F74*S36</f>
        <v>0</v>
      </c>
      <c r="X36" s="85">
        <f t="shared" si="12"/>
        <v>0</v>
      </c>
      <c r="Y36" s="85">
        <f>-X36*'Tables 26a,b-MasterInputs'!$I74</f>
        <v>0</v>
      </c>
      <c r="Z36" s="85">
        <f t="shared" si="13"/>
        <v>0</v>
      </c>
      <c r="AA36" s="85">
        <f>-Z36*'Tables 26a,b-MasterInputs'!$J74</f>
        <v>0</v>
      </c>
      <c r="AB36" s="299">
        <f t="shared" si="14"/>
        <v>0</v>
      </c>
      <c r="AC36" s="107">
        <f>IFERROR(AB36/'Table 12-IUL Census'!G30,0)</f>
        <v>0</v>
      </c>
      <c r="AD36" s="88">
        <f>'Table 12-IUL Census'!F30</f>
        <v>1144.31430234102</v>
      </c>
      <c r="AE36" s="89">
        <f>'Tables 26a,b-MasterInputs'!$H74</f>
        <v>0</v>
      </c>
      <c r="AF36" s="175">
        <f t="shared" si="15"/>
        <v>0</v>
      </c>
      <c r="AG36" s="303">
        <f t="shared" ca="1" si="32"/>
        <v>3.0299404985904693E-10</v>
      </c>
      <c r="AH36" s="137">
        <v>19</v>
      </c>
      <c r="AI36" s="85">
        <v>0</v>
      </c>
      <c r="AJ36" s="300">
        <f>MAX('Table 7-11-IULHostVEDInputs'!F49*(AR35+AI36+AK36+AL36+AM36),0)</f>
        <v>0</v>
      </c>
      <c r="AK36" s="300">
        <f t="shared" si="42"/>
        <v>0</v>
      </c>
      <c r="AL36" s="300">
        <f t="shared" si="43"/>
        <v>0</v>
      </c>
      <c r="AM36" s="300">
        <f t="shared" si="44"/>
        <v>0</v>
      </c>
      <c r="AN36" s="85">
        <f t="shared" si="16"/>
        <v>1.4491019775867462E-10</v>
      </c>
      <c r="AO36" s="85">
        <f>-AN36*'Tables 26a,b-MasterInputs'!$I74</f>
        <v>-1.4809822210936546E-12</v>
      </c>
      <c r="AP36" s="85">
        <f t="shared" si="17"/>
        <v>1.4342921553758097E-10</v>
      </c>
      <c r="AQ36" s="85">
        <f>-AP36*'Tables 26a,b-MasterInputs'!$J74</f>
        <v>-5.7371686215032384E-12</v>
      </c>
      <c r="AR36" s="299">
        <f t="shared" si="18"/>
        <v>1.3769204691607774E-10</v>
      </c>
      <c r="AS36" s="301">
        <f>IFERROR(AR36/'Table 12-IUL Census'!$G30,0)</f>
        <v>5.0136300925071319E-15</v>
      </c>
      <c r="AT36" s="88">
        <f>'Table 12-IUL Census'!$F30*(AR35/($AR35+BH35))</f>
        <v>547.28075329353135</v>
      </c>
      <c r="AU36" s="89">
        <f>'Tables 26a,b-MasterInputs'!$H74</f>
        <v>0</v>
      </c>
      <c r="AV36" s="270">
        <f t="shared" si="19"/>
        <v>0</v>
      </c>
      <c r="AW36" s="120"/>
      <c r="AX36" s="137">
        <v>19</v>
      </c>
      <c r="AY36" s="85">
        <v>0</v>
      </c>
      <c r="AZ36" s="300">
        <f>MAX('Table 7-11-IULHostVEDInputs'!F49*(BH35+AY36+BA36+BB36+BC36),0)</f>
        <v>0</v>
      </c>
      <c r="BA36" s="300">
        <f t="shared" si="45"/>
        <v>0</v>
      </c>
      <c r="BB36" s="300">
        <f t="shared" si="46"/>
        <v>0</v>
      </c>
      <c r="BC36" s="300">
        <f t="shared" si="47"/>
        <v>0</v>
      </c>
      <c r="BD36" s="85">
        <f t="shared" si="33"/>
        <v>1.580838521003723E-10</v>
      </c>
      <c r="BE36" s="85">
        <f>-BD36*'Tables 26a,b-MasterInputs'!$I74</f>
        <v>-1.6156169684658049E-12</v>
      </c>
      <c r="BF36" s="85">
        <f t="shared" si="34"/>
        <v>1.5646823513190651E-10</v>
      </c>
      <c r="BG36" s="85">
        <f>-BF36*'Tables 26a,b-MasterInputs'!$J74</f>
        <v>-6.2587294052762608E-12</v>
      </c>
      <c r="BH36" s="270">
        <f t="shared" si="35"/>
        <v>1.5020950572663025E-10</v>
      </c>
      <c r="BI36" s="301">
        <f>IFERROR(BH36/'Table 12-IUL Census'!$G30,0)</f>
        <v>5.4694146463714164E-15</v>
      </c>
      <c r="BJ36" s="88">
        <f>'Table 12-IUL Census'!$F30*(BH35/($AR35+BH35))</f>
        <v>597.03354904748869</v>
      </c>
      <c r="BK36" s="89">
        <f>'Tables 26a,b-MasterInputs'!$H74</f>
        <v>0</v>
      </c>
      <c r="BL36" s="175">
        <f t="shared" si="20"/>
        <v>0</v>
      </c>
      <c r="BO36" s="137">
        <v>19</v>
      </c>
      <c r="BP36" s="85">
        <v>0</v>
      </c>
      <c r="BQ36" s="302">
        <f>MAX('Table 7-11-IULHostVEDInputs'!F49*(BY35+BP36+BR36+BS36+BT36),0)</f>
        <v>0</v>
      </c>
      <c r="BR36" s="304">
        <f>MAX(-'Tables 26a,b-MasterInputs'!$K74*('Table 12-IUL Census'!$G29*1000/(1+'Tables 26a,b-MasterInputs'!$E49)-(BY35+BP36+BS36+BT36)),-BY35-BS36)*IF(BU35=0,0,1)</f>
        <v>-260701.73770725305</v>
      </c>
      <c r="BS36" s="304">
        <f>-'Tables 26a,b-MasterInputs'!$G74*'Table 12-IUL Census'!$D29*IF(BU35=0,0,1)</f>
        <v>-5780.6497521723013</v>
      </c>
      <c r="BT36" s="304">
        <f>-'Tables 26a,b-MasterInputs'!$F74*BP36</f>
        <v>0</v>
      </c>
      <c r="BU36" s="85">
        <f t="shared" si="21"/>
        <v>419815.95820814779</v>
      </c>
      <c r="BV36" s="85">
        <f>-BU36*'Tables 26a,b-MasterInputs'!$I74</f>
        <v>-4290.5190928872707</v>
      </c>
      <c r="BW36" s="85">
        <f t="shared" si="22"/>
        <v>415525.43911526049</v>
      </c>
      <c r="BX36" s="85">
        <f>-BW36*'Tables 26a,b-MasterInputs'!$J74</f>
        <v>-16621.017564610422</v>
      </c>
      <c r="BY36" s="299">
        <f t="shared" si="23"/>
        <v>398904.42155065009</v>
      </c>
      <c r="BZ36" s="107">
        <f>IFERROR(BY36/'Table 12-IUL Census'!$G30,0)</f>
        <v>14.524870947262842</v>
      </c>
      <c r="CA36" s="88">
        <f>'Table 12-IUL Census'!$F30</f>
        <v>1144.31430234102</v>
      </c>
      <c r="CB36" s="89">
        <f>'Tables 26a,b-MasterInputs'!$H74</f>
        <v>0</v>
      </c>
      <c r="CC36" s="175">
        <f t="shared" si="24"/>
        <v>0</v>
      </c>
      <c r="CD36" s="303">
        <f t="shared" ca="1" si="25"/>
        <v>5.2386894822120667E-10</v>
      </c>
      <c r="CE36" s="137">
        <v>19</v>
      </c>
      <c r="CF36" s="85">
        <v>0</v>
      </c>
      <c r="CG36" s="302">
        <f>MAX('Table 7-11-IULHostVEDInputs'!F49*(CO35+CF36+CH36+CI36+CJ36),0)</f>
        <v>0</v>
      </c>
      <c r="CH36" s="300">
        <f t="shared" si="49"/>
        <v>-82954.158929472251</v>
      </c>
      <c r="CI36" s="300">
        <f t="shared" si="50"/>
        <v>-1839.3776062811967</v>
      </c>
      <c r="CJ36" s="300">
        <f t="shared" si="48"/>
        <v>0</v>
      </c>
      <c r="CK36" s="85">
        <f t="shared" si="26"/>
        <v>133583.61177259823</v>
      </c>
      <c r="CL36" s="85">
        <f>-CK36*'Tables 26a,b-MasterInputs'!$I74</f>
        <v>-1365.2245123159539</v>
      </c>
      <c r="CM36" s="85">
        <f t="shared" si="27"/>
        <v>132218.38726028227</v>
      </c>
      <c r="CN36" s="85">
        <f>-CM36*'Tables 26a,b-MasterInputs'!$J74</f>
        <v>-5288.7354904112908</v>
      </c>
      <c r="CO36" s="299">
        <f t="shared" si="28"/>
        <v>126929.65176987098</v>
      </c>
      <c r="CP36" s="301">
        <f>IFERROR(CO36/'Table 12-IUL Census'!$G30,0)</f>
        <v>4.621750754658648</v>
      </c>
      <c r="CQ36" s="88">
        <f>'Table 12-IUL Census'!$F30*(CO35/(CO35+DE35+DU35))</f>
        <v>364.11583342900053</v>
      </c>
      <c r="CR36" s="89">
        <f>'Tables 26a,b-MasterInputs'!$H74</f>
        <v>0</v>
      </c>
      <c r="CS36" s="270">
        <f t="shared" si="29"/>
        <v>0</v>
      </c>
      <c r="CU36" s="137">
        <v>19</v>
      </c>
      <c r="CV36" s="85">
        <v>0</v>
      </c>
      <c r="CW36" s="302">
        <f>MAX('Table 7-11-IULHostVEDInputs'!F49*(DE35+CV36+CX36+CY36+CZ36),0)</f>
        <v>0</v>
      </c>
      <c r="CX36" s="300">
        <f t="shared" si="51"/>
        <v>-87356.631007687422</v>
      </c>
      <c r="CY36" s="300">
        <f t="shared" si="52"/>
        <v>-1936.9954793022707</v>
      </c>
      <c r="CZ36" s="300">
        <v>0</v>
      </c>
      <c r="DA36" s="85">
        <f t="shared" si="36"/>
        <v>140673.0468114852</v>
      </c>
      <c r="DB36" s="85">
        <f>-DA36*'Tables 26a,b-MasterInputs'!$I74</f>
        <v>-1437.6785384133786</v>
      </c>
      <c r="DC36" s="85">
        <f t="shared" si="37"/>
        <v>139235.36827307183</v>
      </c>
      <c r="DD36" s="85">
        <f>-DC36*'Tables 26a,b-MasterInputs'!$J74</f>
        <v>-5569.4147309228729</v>
      </c>
      <c r="DE36" s="270">
        <f t="shared" si="38"/>
        <v>133665.95354214896</v>
      </c>
      <c r="DF36" s="301">
        <f>IFERROR(DE36/'Table 12-IUL Census'!$G30,0)</f>
        <v>4.8670323525005816</v>
      </c>
      <c r="DG36" s="88">
        <f>'Table 12-IUL Census'!$F30*(DE35/(CO35+DE35+DU35))</f>
        <v>383.43987710076027</v>
      </c>
      <c r="DH36" s="89">
        <f>'Tables 26a,b-MasterInputs'!$H74</f>
        <v>0</v>
      </c>
      <c r="DI36" s="175">
        <f t="shared" si="30"/>
        <v>0</v>
      </c>
      <c r="DK36" s="137">
        <v>19</v>
      </c>
      <c r="DL36" s="85">
        <v>0</v>
      </c>
      <c r="DM36" s="302">
        <f>MAX('Table 7-11-IULHostVEDInputs'!F49*(DU35+DL36+DN36+DO36+DP36),0)</f>
        <v>0</v>
      </c>
      <c r="DN36" s="300">
        <f t="shared" si="53"/>
        <v>-90390.947770093364</v>
      </c>
      <c r="DO36" s="300">
        <f t="shared" si="54"/>
        <v>-2004.2766665888339</v>
      </c>
      <c r="DP36" s="300">
        <v>0</v>
      </c>
      <c r="DQ36" s="85">
        <f t="shared" si="39"/>
        <v>145559.29962406494</v>
      </c>
      <c r="DR36" s="85">
        <f>-DQ36*'Tables 26a,b-MasterInputs'!$I74</f>
        <v>-1487.6160421579436</v>
      </c>
      <c r="DS36" s="85">
        <f t="shared" si="40"/>
        <v>144071.68358190698</v>
      </c>
      <c r="DT36" s="85">
        <f>-DS36*'Tables 26a,b-MasterInputs'!$J74</f>
        <v>-5762.8673432762798</v>
      </c>
      <c r="DU36" s="270">
        <f t="shared" si="41"/>
        <v>138308.81623863071</v>
      </c>
      <c r="DV36" s="301">
        <f>IFERROR(DU36/'Table 12-IUL Census'!$G30,0)</f>
        <v>5.0360878401036331</v>
      </c>
      <c r="DW36" s="88">
        <f>'Table 12-IUL Census'!$F30*(DU35/(CO35+DE35+DU35))</f>
        <v>396.75859181125918</v>
      </c>
      <c r="DX36" s="89">
        <f>'Tables 26a,b-MasterInputs'!$H74</f>
        <v>0</v>
      </c>
      <c r="DY36" s="175">
        <f t="shared" si="31"/>
        <v>0</v>
      </c>
      <c r="EJ36" s="88"/>
      <c r="EK36" s="88"/>
      <c r="EL36" s="88"/>
      <c r="EM36" s="88"/>
      <c r="EN36" s="88"/>
      <c r="EO36" s="85"/>
      <c r="EP36" s="85"/>
      <c r="EQ36" s="85"/>
    </row>
    <row r="37" spans="1:202" x14ac:dyDescent="0.25">
      <c r="A37" s="137">
        <v>20</v>
      </c>
      <c r="B37" s="85">
        <v>0</v>
      </c>
      <c r="C37" s="174">
        <f>MAX('Table 7-11-IULHostVEDInputs'!F50*(K36+B37+D37+E37+F37),0)</f>
        <v>0</v>
      </c>
      <c r="D37" s="174">
        <f>MAX(-'Tables 26a,b-MasterInputs'!$K75*('Table 12-IUL Census'!$G30*1000/(1+'Tables 26a,b-MasterInputs'!$E50)-(K36+B37+E37+F37)),-K36-E37)*IF(G36=0,0,1)</f>
        <v>0</v>
      </c>
      <c r="E37" s="174">
        <f>-'Tables 26a,b-MasterInputs'!$G75*'Table 12-IUL Census'!D30*IF(G36=0,0,1)</f>
        <v>0</v>
      </c>
      <c r="F37" s="174">
        <f>-'Tables 26a,b-MasterInputs'!$F75*B37</f>
        <v>0</v>
      </c>
      <c r="G37" s="85">
        <f t="shared" si="55"/>
        <v>0</v>
      </c>
      <c r="H37" s="85">
        <f>-G37*'Tables 26a,b-MasterInputs'!$I75</f>
        <v>0</v>
      </c>
      <c r="I37" s="85">
        <f t="shared" si="9"/>
        <v>0</v>
      </c>
      <c r="J37" s="85">
        <f>-I37*'Tables 26a,b-MasterInputs'!$J75</f>
        <v>0</v>
      </c>
      <c r="K37" s="299">
        <f t="shared" si="10"/>
        <v>0</v>
      </c>
      <c r="L37" s="107">
        <f>IFERROR(K37/'Table 12-IUL Census'!$G31,0)</f>
        <v>0</v>
      </c>
      <c r="M37" s="88">
        <f>'Table 12-IUL Census'!F31</f>
        <v>27154.578394552409</v>
      </c>
      <c r="N37" s="89">
        <f>'Tables 26a,b-MasterInputs'!$H75</f>
        <v>0</v>
      </c>
      <c r="O37" s="175">
        <f t="shared" si="11"/>
        <v>0</v>
      </c>
      <c r="R37" s="137">
        <v>20</v>
      </c>
      <c r="S37" s="85">
        <v>0</v>
      </c>
      <c r="T37" s="300">
        <f>MAX('Table 7-11-IULHostVEDInputs'!F50*(AB36+S37+U37+V37+W37),0)</f>
        <v>0</v>
      </c>
      <c r="U37" s="174">
        <f>MAX(-'Tables 26a,b-MasterInputs'!$K75*('Table 12-IUL Census'!$G30*1000/(1+'Tables 26a,b-MasterInputs'!$E50)-(AB36+S37+V37+W37)),-AB36-V37)*IF(X36=0,0,1)</f>
        <v>0</v>
      </c>
      <c r="V37" s="174">
        <f>-'Tables 26a,b-MasterInputs'!$G75*'Table 12-IUL Census'!$D30*IF(X36=0,0,1)</f>
        <v>0</v>
      </c>
      <c r="W37" s="174">
        <f>-'Tables 26a,b-MasterInputs'!$F75*S37</f>
        <v>0</v>
      </c>
      <c r="X37" s="85">
        <f t="shared" si="12"/>
        <v>0</v>
      </c>
      <c r="Y37" s="85">
        <f>-X37*'Tables 26a,b-MasterInputs'!$I75</f>
        <v>0</v>
      </c>
      <c r="Z37" s="85">
        <f t="shared" si="13"/>
        <v>0</v>
      </c>
      <c r="AA37" s="85">
        <f>-Z37*'Tables 26a,b-MasterInputs'!$J75</f>
        <v>0</v>
      </c>
      <c r="AB37" s="299">
        <f t="shared" si="14"/>
        <v>0</v>
      </c>
      <c r="AC37" s="107">
        <f>IFERROR(AB37/'Table 12-IUL Census'!G31,0)</f>
        <v>0</v>
      </c>
      <c r="AD37" s="88">
        <f>'Table 12-IUL Census'!F31</f>
        <v>27154.578394552409</v>
      </c>
      <c r="AE37" s="89">
        <f>'Tables 26a,b-MasterInputs'!$H75</f>
        <v>0</v>
      </c>
      <c r="AF37" s="175">
        <f t="shared" si="15"/>
        <v>0</v>
      </c>
      <c r="AG37" s="303">
        <f t="shared" ca="1" si="32"/>
        <v>2.8790155264270799E-10</v>
      </c>
      <c r="AH37" s="137">
        <v>20</v>
      </c>
      <c r="AI37" s="85">
        <v>0</v>
      </c>
      <c r="AJ37" s="300">
        <f>MAX('Table 7-11-IULHostVEDInputs'!F50*(AR36+AI37+AK37+AL37+AM37),0)</f>
        <v>0</v>
      </c>
      <c r="AK37" s="300">
        <f t="shared" si="42"/>
        <v>0</v>
      </c>
      <c r="AL37" s="300">
        <f t="shared" si="43"/>
        <v>0</v>
      </c>
      <c r="AM37" s="300">
        <f t="shared" si="44"/>
        <v>0</v>
      </c>
      <c r="AN37" s="85">
        <f t="shared" si="16"/>
        <v>1.3769204691607774E-10</v>
      </c>
      <c r="AO37" s="85">
        <f>-AN37*'Tables 26a,b-MasterInputs'!$I75</f>
        <v>-1.5490355278058745E-12</v>
      </c>
      <c r="AP37" s="85">
        <f t="shared" si="17"/>
        <v>1.3614301138827185E-10</v>
      </c>
      <c r="AQ37" s="85">
        <f>-AP37*'Tables 26a,b-MasterInputs'!$J75</f>
        <v>-1.3614301138827185E-10</v>
      </c>
      <c r="AR37" s="299">
        <f t="shared" si="18"/>
        <v>0</v>
      </c>
      <c r="AS37" s="301">
        <f>IFERROR(AR37/'Table 12-IUL Census'!$G31,0)</f>
        <v>0</v>
      </c>
      <c r="AT37" s="88">
        <f>'Table 12-IUL Census'!$F31*(AR36/($AR36+BH36))</f>
        <v>12986.9722756555</v>
      </c>
      <c r="AU37" s="89">
        <f>'Tables 26a,b-MasterInputs'!$H75</f>
        <v>0</v>
      </c>
      <c r="AV37" s="270">
        <f t="shared" si="19"/>
        <v>0</v>
      </c>
      <c r="AW37" s="120"/>
      <c r="AX37" s="137">
        <v>20</v>
      </c>
      <c r="AY37" s="85">
        <v>0</v>
      </c>
      <c r="AZ37" s="300">
        <f>MAX('Table 7-11-IULHostVEDInputs'!F50*(BH36+AY37+BA37+BB37+BC37),0)</f>
        <v>0</v>
      </c>
      <c r="BA37" s="300">
        <f t="shared" si="45"/>
        <v>0</v>
      </c>
      <c r="BB37" s="300">
        <f t="shared" si="46"/>
        <v>0</v>
      </c>
      <c r="BC37" s="300">
        <f t="shared" si="47"/>
        <v>0</v>
      </c>
      <c r="BD37" s="85">
        <f t="shared" si="33"/>
        <v>1.5020950572663025E-10</v>
      </c>
      <c r="BE37" s="85">
        <f>-BD37*'Tables 26a,b-MasterInputs'!$I75</f>
        <v>-1.6898569394245903E-12</v>
      </c>
      <c r="BF37" s="85">
        <f t="shared" si="34"/>
        <v>1.4851964878720566E-10</v>
      </c>
      <c r="BG37" s="85">
        <f>-BF37*'Tables 26a,b-MasterInputs'!$J75</f>
        <v>-1.4851964878720566E-10</v>
      </c>
      <c r="BH37" s="270">
        <f t="shared" si="35"/>
        <v>0</v>
      </c>
      <c r="BI37" s="301">
        <f>IFERROR(BH37/'Table 12-IUL Census'!$G31,0)</f>
        <v>0</v>
      </c>
      <c r="BJ37" s="88">
        <f>'Table 12-IUL Census'!$F31*(BH36/($AR36+BH36))</f>
        <v>14167.606118896909</v>
      </c>
      <c r="BK37" s="89">
        <f>'Tables 26a,b-MasterInputs'!$H75</f>
        <v>0</v>
      </c>
      <c r="BL37" s="175">
        <f t="shared" si="20"/>
        <v>0</v>
      </c>
      <c r="BO37" s="137">
        <v>20</v>
      </c>
      <c r="BP37" s="85">
        <v>0</v>
      </c>
      <c r="BQ37" s="302">
        <f>MAX('Table 7-11-IULHostVEDInputs'!F50*(BY36+BP37+BR37+BS37+BT37),0)</f>
        <v>0</v>
      </c>
      <c r="BR37" s="304">
        <f>MAX(-'Tables 26a,b-MasterInputs'!$K75*('Table 12-IUL Census'!$G30*1000/(1+'Tables 26a,b-MasterInputs'!$E50)-(BY36+BP37+BS37+BT37)),-BY36-BS37)*IF(BU36=0,0,1)</f>
        <v>-275322.01416781615</v>
      </c>
      <c r="BS37" s="304">
        <f>-'Tables 26a,b-MasterInputs'!$G75*'Table 12-IUL Census'!$D30*IF(BU36=0,0,1)</f>
        <v>-5492.7086512368969</v>
      </c>
      <c r="BT37" s="304">
        <f>-'Tables 26a,b-MasterInputs'!$F75*BP37</f>
        <v>0</v>
      </c>
      <c r="BU37" s="85">
        <f t="shared" si="21"/>
        <v>118089.69873159705</v>
      </c>
      <c r="BV37" s="85">
        <f>-BU37*'Tables 26a,b-MasterInputs'!$I75</f>
        <v>-1328.5091107304668</v>
      </c>
      <c r="BW37" s="85">
        <f t="shared" si="22"/>
        <v>116761.18962086659</v>
      </c>
      <c r="BX37" s="85">
        <f>-BW37*'Tables 26a,b-MasterInputs'!$J75</f>
        <v>-116761.18962086659</v>
      </c>
      <c r="BY37" s="299">
        <f t="shared" si="23"/>
        <v>0</v>
      </c>
      <c r="BZ37" s="107">
        <f>IFERROR(BY37/'Table 12-IUL Census'!$G31,0)</f>
        <v>0</v>
      </c>
      <c r="CA37" s="88">
        <f>'Table 12-IUL Census'!$F31</f>
        <v>27154.578394552409</v>
      </c>
      <c r="CB37" s="89">
        <f>'Tables 26a,b-MasterInputs'!$H75</f>
        <v>0</v>
      </c>
      <c r="CC37" s="175">
        <f t="shared" si="24"/>
        <v>0</v>
      </c>
      <c r="CD37" s="303">
        <f t="shared" ca="1" si="25"/>
        <v>0</v>
      </c>
      <c r="CE37" s="137">
        <v>20</v>
      </c>
      <c r="CF37" s="85">
        <v>0</v>
      </c>
      <c r="CG37" s="302">
        <f>MAX('Table 7-11-IULHostVEDInputs'!F50*(CO36+CF37+CH37+CI37+CJ37),0)</f>
        <v>0</v>
      </c>
      <c r="CH37" s="300">
        <f t="shared" si="49"/>
        <v>-87606.267303465022</v>
      </c>
      <c r="CI37" s="300">
        <f t="shared" si="50"/>
        <v>-1747.7560004592031</v>
      </c>
      <c r="CJ37" s="300">
        <f t="shared" si="48"/>
        <v>0</v>
      </c>
      <c r="CK37" s="85">
        <f t="shared" si="26"/>
        <v>37575.628465946749</v>
      </c>
      <c r="CL37" s="85">
        <f>-CK37*'Tables 26a,b-MasterInputs'!$I75</f>
        <v>-422.72582024190092</v>
      </c>
      <c r="CM37" s="85">
        <f t="shared" si="27"/>
        <v>37152.902645704846</v>
      </c>
      <c r="CN37" s="85">
        <f>-CM37*'Tables 26a,b-MasterInputs'!$J75</f>
        <v>-37152.902645704846</v>
      </c>
      <c r="CO37" s="299">
        <f t="shared" si="28"/>
        <v>0</v>
      </c>
      <c r="CP37" s="301">
        <f>IFERROR(CO37/'Table 12-IUL Census'!$G31,0)</f>
        <v>0</v>
      </c>
      <c r="CQ37" s="88">
        <f>'Table 12-IUL Census'!$F31*(CO36/(CO36+DE36+DU36))</f>
        <v>8640.4687272701849</v>
      </c>
      <c r="CR37" s="89">
        <f>'Tables 26a,b-MasterInputs'!$H75</f>
        <v>0</v>
      </c>
      <c r="CS37" s="270">
        <f t="shared" si="29"/>
        <v>0</v>
      </c>
      <c r="CU37" s="137">
        <v>20</v>
      </c>
      <c r="CV37" s="85">
        <v>0</v>
      </c>
      <c r="CW37" s="302">
        <f>MAX('Table 7-11-IULHostVEDInputs'!F50*(DE36+CV37+CX37+CY37+CZ37),0)</f>
        <v>0</v>
      </c>
      <c r="CX37" s="300">
        <f t="shared" si="51"/>
        <v>-92255.632093096225</v>
      </c>
      <c r="CY37" s="300">
        <f t="shared" si="52"/>
        <v>-1840.5114100836499</v>
      </c>
      <c r="CZ37" s="300">
        <v>0</v>
      </c>
      <c r="DA37" s="85">
        <f t="shared" si="36"/>
        <v>39569.810038969081</v>
      </c>
      <c r="DB37" s="85">
        <f>-DA37*'Tables 26a,b-MasterInputs'!$I75</f>
        <v>-445.16036293840216</v>
      </c>
      <c r="DC37" s="85">
        <f t="shared" si="37"/>
        <v>39124.649676030676</v>
      </c>
      <c r="DD37" s="85">
        <f>-DC37*'Tables 26a,b-MasterInputs'!$J75</f>
        <v>-39124.649676030676</v>
      </c>
      <c r="DE37" s="270">
        <f t="shared" si="38"/>
        <v>0</v>
      </c>
      <c r="DF37" s="301">
        <f>IFERROR(DE37/'Table 12-IUL Census'!$G31,0)</f>
        <v>0</v>
      </c>
      <c r="DG37" s="88">
        <f>'Table 12-IUL Census'!$F31*(DE36/(CO36+DE36+DU36))</f>
        <v>9099.0282836010447</v>
      </c>
      <c r="DH37" s="89">
        <f>'Tables 26a,b-MasterInputs'!$H75</f>
        <v>0</v>
      </c>
      <c r="DI37" s="175">
        <f t="shared" si="30"/>
        <v>0</v>
      </c>
      <c r="DK37" s="137">
        <v>20</v>
      </c>
      <c r="DL37" s="85">
        <v>0</v>
      </c>
      <c r="DM37" s="302">
        <f>MAX('Table 7-11-IULHostVEDInputs'!F50*(DU36+DL37+DN37+DO37+DP37),0)</f>
        <v>0</v>
      </c>
      <c r="DN37" s="300">
        <f t="shared" si="53"/>
        <v>-95460.114771254914</v>
      </c>
      <c r="DO37" s="300">
        <f t="shared" si="54"/>
        <v>-1904.4412406940442</v>
      </c>
      <c r="DP37" s="300">
        <v>0</v>
      </c>
      <c r="DQ37" s="85">
        <f t="shared" si="39"/>
        <v>40944.260226681756</v>
      </c>
      <c r="DR37" s="85">
        <f>-DQ37*'Tables 26a,b-MasterInputs'!$I75</f>
        <v>-460.62292755016972</v>
      </c>
      <c r="DS37" s="85">
        <f t="shared" si="40"/>
        <v>40483.637299131587</v>
      </c>
      <c r="DT37" s="85">
        <f>-DS37*'Tables 26a,b-MasterInputs'!$J75</f>
        <v>-40483.637299131587</v>
      </c>
      <c r="DU37" s="270">
        <f t="shared" si="41"/>
        <v>0</v>
      </c>
      <c r="DV37" s="301">
        <f>IFERROR(DU37/'Table 12-IUL Census'!$G31,0)</f>
        <v>0</v>
      </c>
      <c r="DW37" s="88">
        <f>'Table 12-IUL Census'!$F31*(DU36/(CO36+DE36+DU36))</f>
        <v>9415.0813836811813</v>
      </c>
      <c r="DX37" s="89">
        <f>'Tables 26a,b-MasterInputs'!$H75</f>
        <v>0</v>
      </c>
      <c r="DY37" s="175">
        <f t="shared" si="31"/>
        <v>0</v>
      </c>
      <c r="EJ37" s="88"/>
      <c r="EK37" s="88"/>
      <c r="EL37" s="88"/>
      <c r="EM37" s="88"/>
      <c r="EN37" s="88"/>
      <c r="EO37" s="85"/>
      <c r="EP37" s="85"/>
      <c r="EQ37" s="85"/>
    </row>
    <row r="38" spans="1:202" ht="15.75" thickBot="1" x14ac:dyDescent="0.3">
      <c r="A38" s="139"/>
      <c r="B38" s="122"/>
      <c r="C38" s="122"/>
      <c r="D38" s="122"/>
      <c r="E38" s="122"/>
      <c r="F38" s="122"/>
      <c r="G38" s="122"/>
      <c r="H38" s="122"/>
      <c r="I38" s="122"/>
      <c r="J38" s="122"/>
      <c r="K38" s="305"/>
      <c r="L38" s="122">
        <f>IFERROR(K38/'Table 12-IUL Census'!$H32,0)</f>
        <v>0</v>
      </c>
      <c r="M38" s="122"/>
      <c r="N38" s="122"/>
      <c r="O38" s="305"/>
      <c r="R38" s="139"/>
      <c r="S38" s="122"/>
      <c r="T38" s="122"/>
      <c r="U38" s="122"/>
      <c r="V38" s="122"/>
      <c r="W38" s="122"/>
      <c r="X38" s="122"/>
      <c r="Y38" s="122"/>
      <c r="Z38" s="122"/>
      <c r="AA38" s="122"/>
      <c r="AB38" s="305"/>
      <c r="AC38" s="122"/>
      <c r="AD38" s="122"/>
      <c r="AE38" s="122"/>
      <c r="AF38" s="305"/>
      <c r="AG38" s="120"/>
      <c r="AH38" s="139"/>
      <c r="AI38" s="122"/>
      <c r="AJ38" s="122"/>
      <c r="AK38" s="122"/>
      <c r="AL38" s="122"/>
      <c r="AM38" s="122"/>
      <c r="AN38" s="122"/>
      <c r="AO38" s="122"/>
      <c r="AP38" s="122"/>
      <c r="AQ38" s="122"/>
      <c r="AR38" s="305"/>
      <c r="AS38" s="122"/>
      <c r="AT38" s="122"/>
      <c r="AU38" s="122"/>
      <c r="AV38" s="305"/>
      <c r="AW38" s="120"/>
      <c r="AX38" s="139"/>
      <c r="AY38" s="122"/>
      <c r="AZ38" s="122"/>
      <c r="BA38" s="122"/>
      <c r="BB38" s="122"/>
      <c r="BC38" s="122"/>
      <c r="BD38" s="122"/>
      <c r="BE38" s="122"/>
      <c r="BF38" s="122"/>
      <c r="BG38" s="122"/>
      <c r="BH38" s="305"/>
      <c r="BI38" s="122"/>
      <c r="BJ38" s="122"/>
      <c r="BK38" s="122"/>
      <c r="BL38" s="305"/>
      <c r="BO38" s="139"/>
      <c r="BP38" s="122"/>
      <c r="BQ38" s="122"/>
      <c r="BR38" s="122"/>
      <c r="BS38" s="122"/>
      <c r="BT38" s="122"/>
      <c r="BU38" s="122"/>
      <c r="BV38" s="122"/>
      <c r="BW38" s="122"/>
      <c r="BX38" s="122"/>
      <c r="BY38" s="305"/>
      <c r="BZ38" s="122"/>
      <c r="CA38" s="122"/>
      <c r="CB38" s="122"/>
      <c r="CC38" s="305"/>
      <c r="CE38" s="139"/>
      <c r="CF38" s="122"/>
      <c r="CG38" s="122"/>
      <c r="CH38" s="122"/>
      <c r="CI38" s="122"/>
      <c r="CJ38" s="122"/>
      <c r="CK38" s="122"/>
      <c r="CL38" s="122"/>
      <c r="CM38" s="122"/>
      <c r="CN38" s="122"/>
      <c r="CO38" s="305"/>
      <c r="CP38" s="122"/>
      <c r="CQ38" s="122"/>
      <c r="CR38" s="122"/>
      <c r="CS38" s="305"/>
      <c r="CU38" s="139"/>
      <c r="CV38" s="122"/>
      <c r="CW38" s="122"/>
      <c r="CX38" s="122"/>
      <c r="CY38" s="122"/>
      <c r="CZ38" s="122"/>
      <c r="DA38" s="122"/>
      <c r="DB38" s="122"/>
      <c r="DC38" s="122"/>
      <c r="DD38" s="122"/>
      <c r="DE38" s="305"/>
      <c r="DF38" s="122"/>
      <c r="DG38" s="122"/>
      <c r="DH38" s="122"/>
      <c r="DI38" s="305"/>
      <c r="DK38" s="139"/>
      <c r="DL38" s="122"/>
      <c r="DM38" s="122"/>
      <c r="DN38" s="122"/>
      <c r="DO38" s="122"/>
      <c r="DP38" s="122"/>
      <c r="DQ38" s="122"/>
      <c r="DR38" s="122"/>
      <c r="DS38" s="122"/>
      <c r="DT38" s="122"/>
      <c r="DU38" s="305"/>
      <c r="DV38" s="122"/>
      <c r="DW38" s="122"/>
      <c r="DX38" s="122"/>
      <c r="DY38" s="305"/>
    </row>
    <row r="39" spans="1:202" x14ac:dyDescent="0.25">
      <c r="CC39" s="102"/>
      <c r="DI39" s="120"/>
    </row>
    <row r="40" spans="1:202" ht="15.75" thickBot="1" x14ac:dyDescent="0.3">
      <c r="CC40" s="120"/>
      <c r="DI40" s="120"/>
    </row>
    <row r="41" spans="1:202" x14ac:dyDescent="0.25">
      <c r="A41" s="450" t="s">
        <v>285</v>
      </c>
      <c r="B41" s="451"/>
      <c r="C41" s="451"/>
      <c r="D41" s="451"/>
      <c r="E41" s="451"/>
      <c r="F41" s="451"/>
      <c r="G41" s="451"/>
      <c r="H41" s="451"/>
      <c r="I41" s="451"/>
      <c r="J41" s="451"/>
      <c r="K41" s="452"/>
      <c r="L41" s="30"/>
      <c r="M41" s="30"/>
      <c r="N41" s="30"/>
      <c r="O41" s="29"/>
      <c r="P41" s="1"/>
      <c r="Q41" s="1"/>
      <c r="R41" s="450" t="s">
        <v>295</v>
      </c>
      <c r="S41" s="451"/>
      <c r="T41" s="451"/>
      <c r="U41" s="451"/>
      <c r="V41" s="451"/>
      <c r="W41" s="451"/>
      <c r="X41" s="451"/>
      <c r="Y41" s="451"/>
      <c r="Z41" s="451"/>
      <c r="AA41" s="451"/>
      <c r="AB41" s="452"/>
      <c r="AC41" s="30"/>
      <c r="AD41" s="30"/>
      <c r="AE41" s="30"/>
      <c r="AF41" s="29"/>
      <c r="AG41" s="1"/>
      <c r="AH41" s="450" t="s">
        <v>297</v>
      </c>
      <c r="AI41" s="451"/>
      <c r="AJ41" s="451"/>
      <c r="AK41" s="451"/>
      <c r="AL41" s="451"/>
      <c r="AM41" s="451"/>
      <c r="AN41" s="451"/>
      <c r="AO41" s="451"/>
      <c r="AP41" s="451"/>
      <c r="AQ41" s="451"/>
      <c r="AR41" s="452"/>
      <c r="AS41" s="30"/>
      <c r="AT41" s="30"/>
      <c r="AU41" s="30"/>
      <c r="AV41" s="29"/>
      <c r="AW41" s="1"/>
      <c r="AX41" s="450" t="s">
        <v>345</v>
      </c>
      <c r="AY41" s="451"/>
      <c r="AZ41" s="451"/>
      <c r="BA41" s="451"/>
      <c r="BB41" s="451"/>
      <c r="BC41" s="451"/>
      <c r="BD41" s="451"/>
      <c r="BE41" s="451"/>
      <c r="BF41" s="451"/>
      <c r="BG41" s="451"/>
      <c r="BH41" s="452"/>
      <c r="BI41" s="30"/>
      <c r="BJ41" s="30"/>
      <c r="BK41" s="30"/>
      <c r="BL41" s="29"/>
      <c r="BM41" s="1"/>
      <c r="BN41" s="1"/>
      <c r="BO41" s="431"/>
      <c r="BP41" s="432"/>
      <c r="BQ41" s="432"/>
      <c r="BR41" s="432"/>
      <c r="BS41" s="432"/>
      <c r="BT41" s="432"/>
      <c r="BU41" s="432"/>
      <c r="BV41" s="432"/>
      <c r="BW41" s="432"/>
      <c r="BX41" s="432"/>
      <c r="BY41" s="433"/>
      <c r="BZ41" s="30"/>
      <c r="CA41" s="30"/>
      <c r="CB41" s="30"/>
      <c r="CC41" s="29"/>
      <c r="CD41" s="1"/>
      <c r="CE41" s="431"/>
      <c r="CF41" s="432"/>
      <c r="CG41" s="432"/>
      <c r="CH41" s="432"/>
      <c r="CI41" s="432"/>
      <c r="CJ41" s="432"/>
      <c r="CK41" s="432"/>
      <c r="CL41" s="432"/>
      <c r="CM41" s="432"/>
      <c r="CN41" s="432"/>
      <c r="CO41" s="433"/>
      <c r="CP41" s="30"/>
      <c r="CQ41" s="30"/>
      <c r="CR41" s="30"/>
      <c r="CS41" s="29"/>
      <c r="CT41" s="1"/>
      <c r="CU41" s="450"/>
      <c r="CV41" s="451"/>
      <c r="CW41" s="451"/>
      <c r="CX41" s="451"/>
      <c r="CY41" s="451"/>
      <c r="CZ41" s="451"/>
      <c r="DA41" s="451"/>
      <c r="DB41" s="451"/>
      <c r="DC41" s="451"/>
      <c r="DD41" s="451"/>
      <c r="DE41" s="452"/>
      <c r="DF41" s="30"/>
      <c r="DG41" s="30"/>
      <c r="DH41" s="30"/>
      <c r="DI41" s="29"/>
      <c r="DJ41" s="1"/>
      <c r="DK41" s="450"/>
      <c r="DL41" s="451"/>
      <c r="DM41" s="451"/>
      <c r="DN41" s="451"/>
      <c r="DO41" s="451"/>
      <c r="DP41" s="451"/>
      <c r="DQ41" s="451"/>
      <c r="DR41" s="451"/>
      <c r="DS41" s="451"/>
      <c r="DT41" s="451"/>
      <c r="DU41" s="452"/>
      <c r="DV41" s="30"/>
      <c r="DW41" s="30"/>
      <c r="DX41" s="30"/>
      <c r="DY41" s="29"/>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row>
    <row r="42" spans="1:202" ht="15.75" thickBot="1" x14ac:dyDescent="0.3">
      <c r="A42" s="453" t="s">
        <v>193</v>
      </c>
      <c r="B42" s="454"/>
      <c r="C42" s="454"/>
      <c r="D42" s="454"/>
      <c r="E42" s="454"/>
      <c r="F42" s="454"/>
      <c r="G42" s="454"/>
      <c r="H42" s="454"/>
      <c r="I42" s="454"/>
      <c r="J42" s="454"/>
      <c r="K42" s="455"/>
      <c r="L42" s="27"/>
      <c r="M42" s="27"/>
      <c r="N42" s="27"/>
      <c r="O42" s="28"/>
      <c r="R42" s="453" t="s">
        <v>194</v>
      </c>
      <c r="S42" s="454"/>
      <c r="T42" s="454"/>
      <c r="U42" s="454"/>
      <c r="V42" s="454"/>
      <c r="W42" s="454"/>
      <c r="X42" s="454"/>
      <c r="Y42" s="454"/>
      <c r="Z42" s="454"/>
      <c r="AA42" s="454"/>
      <c r="AB42" s="455"/>
      <c r="AC42" s="27"/>
      <c r="AD42" s="27"/>
      <c r="AE42" s="27"/>
      <c r="AF42" s="28"/>
      <c r="AG42" s="120"/>
      <c r="AH42" s="453" t="s">
        <v>195</v>
      </c>
      <c r="AI42" s="454"/>
      <c r="AJ42" s="454"/>
      <c r="AK42" s="454"/>
      <c r="AL42" s="454"/>
      <c r="AM42" s="454"/>
      <c r="AN42" s="454"/>
      <c r="AO42" s="454"/>
      <c r="AP42" s="454"/>
      <c r="AQ42" s="454"/>
      <c r="AR42" s="455"/>
      <c r="AS42" s="27"/>
      <c r="AT42" s="27"/>
      <c r="AU42" s="27"/>
      <c r="AV42" s="28"/>
      <c r="AW42" s="120"/>
      <c r="AX42" s="453" t="s">
        <v>196</v>
      </c>
      <c r="AY42" s="454"/>
      <c r="AZ42" s="454"/>
      <c r="BA42" s="454"/>
      <c r="BB42" s="454"/>
      <c r="BC42" s="454"/>
      <c r="BD42" s="454"/>
      <c r="BE42" s="454"/>
      <c r="BF42" s="454"/>
      <c r="BG42" s="454"/>
      <c r="BH42" s="455"/>
      <c r="BI42" s="27"/>
      <c r="BJ42" s="27"/>
      <c r="BK42" s="27"/>
      <c r="BL42" s="28"/>
      <c r="BO42" s="434" t="s">
        <v>197</v>
      </c>
      <c r="BP42" s="435"/>
      <c r="BQ42" s="435"/>
      <c r="BR42" s="435"/>
      <c r="BS42" s="435"/>
      <c r="BT42" s="435"/>
      <c r="BU42" s="435"/>
      <c r="BV42" s="435"/>
      <c r="BW42" s="435"/>
      <c r="BX42" s="435"/>
      <c r="BY42" s="436"/>
      <c r="BZ42" s="27"/>
      <c r="CA42" s="27"/>
      <c r="CB42" s="27"/>
      <c r="CC42" s="28"/>
      <c r="CE42" s="453" t="s">
        <v>198</v>
      </c>
      <c r="CF42" s="454"/>
      <c r="CG42" s="454"/>
      <c r="CH42" s="454"/>
      <c r="CI42" s="454"/>
      <c r="CJ42" s="454"/>
      <c r="CK42" s="454"/>
      <c r="CL42" s="454"/>
      <c r="CM42" s="454"/>
      <c r="CN42" s="454"/>
      <c r="CO42" s="455"/>
      <c r="CP42" s="27"/>
      <c r="CQ42" s="27"/>
      <c r="CR42" s="27"/>
      <c r="CS42" s="28"/>
      <c r="CU42" s="453" t="s">
        <v>199</v>
      </c>
      <c r="CV42" s="454"/>
      <c r="CW42" s="454"/>
      <c r="CX42" s="454"/>
      <c r="CY42" s="454"/>
      <c r="CZ42" s="454"/>
      <c r="DA42" s="454"/>
      <c r="DB42" s="454"/>
      <c r="DC42" s="454"/>
      <c r="DD42" s="454"/>
      <c r="DE42" s="455"/>
      <c r="DF42" s="27"/>
      <c r="DG42" s="27"/>
      <c r="DH42" s="27"/>
      <c r="DI42" s="28"/>
      <c r="DK42" s="453" t="s">
        <v>200</v>
      </c>
      <c r="DL42" s="454"/>
      <c r="DM42" s="454"/>
      <c r="DN42" s="454"/>
      <c r="DO42" s="454"/>
      <c r="DP42" s="454"/>
      <c r="DQ42" s="454"/>
      <c r="DR42" s="454"/>
      <c r="DS42" s="454"/>
      <c r="DT42" s="454"/>
      <c r="DU42" s="455"/>
      <c r="DV42" s="27"/>
      <c r="DW42" s="27"/>
      <c r="DX42" s="27"/>
      <c r="DY42" s="28"/>
    </row>
    <row r="43" spans="1:202" x14ac:dyDescent="0.25">
      <c r="A43" s="295"/>
      <c r="B43" s="295">
        <f t="shared" ref="B43:O43" si="56">A43-1</f>
        <v>-1</v>
      </c>
      <c r="C43" s="295">
        <f t="shared" si="56"/>
        <v>-2</v>
      </c>
      <c r="D43" s="295">
        <f t="shared" si="56"/>
        <v>-3</v>
      </c>
      <c r="E43" s="295">
        <f t="shared" si="56"/>
        <v>-4</v>
      </c>
      <c r="F43" s="295">
        <f t="shared" si="56"/>
        <v>-5</v>
      </c>
      <c r="G43" s="295">
        <f t="shared" si="56"/>
        <v>-6</v>
      </c>
      <c r="H43" s="295">
        <f t="shared" si="56"/>
        <v>-7</v>
      </c>
      <c r="I43" s="295">
        <f t="shared" si="56"/>
        <v>-8</v>
      </c>
      <c r="J43" s="295">
        <f t="shared" si="56"/>
        <v>-9</v>
      </c>
      <c r="K43" s="295">
        <f t="shared" si="56"/>
        <v>-10</v>
      </c>
      <c r="L43" s="294">
        <f t="shared" si="56"/>
        <v>-11</v>
      </c>
      <c r="M43" s="295">
        <f t="shared" si="56"/>
        <v>-12</v>
      </c>
      <c r="N43" s="295">
        <f t="shared" si="56"/>
        <v>-13</v>
      </c>
      <c r="O43" s="295">
        <f t="shared" si="56"/>
        <v>-14</v>
      </c>
      <c r="R43" s="295"/>
      <c r="S43" s="295">
        <f t="shared" ref="S43:AF43" si="57">R43-1</f>
        <v>-1</v>
      </c>
      <c r="T43" s="295">
        <f t="shared" si="57"/>
        <v>-2</v>
      </c>
      <c r="U43" s="295">
        <f t="shared" si="57"/>
        <v>-3</v>
      </c>
      <c r="V43" s="295">
        <f t="shared" si="57"/>
        <v>-4</v>
      </c>
      <c r="W43" s="295">
        <f t="shared" si="57"/>
        <v>-5</v>
      </c>
      <c r="X43" s="295">
        <f t="shared" si="57"/>
        <v>-6</v>
      </c>
      <c r="Y43" s="295">
        <f t="shared" si="57"/>
        <v>-7</v>
      </c>
      <c r="Z43" s="295">
        <f t="shared" si="57"/>
        <v>-8</v>
      </c>
      <c r="AA43" s="295">
        <f t="shared" si="57"/>
        <v>-9</v>
      </c>
      <c r="AB43" s="295">
        <f t="shared" si="57"/>
        <v>-10</v>
      </c>
      <c r="AC43" s="294">
        <f t="shared" si="57"/>
        <v>-11</v>
      </c>
      <c r="AD43" s="295">
        <f t="shared" si="57"/>
        <v>-12</v>
      </c>
      <c r="AE43" s="295">
        <f t="shared" si="57"/>
        <v>-13</v>
      </c>
      <c r="AF43" s="295">
        <f t="shared" si="57"/>
        <v>-14</v>
      </c>
      <c r="AG43" s="120"/>
      <c r="AH43" s="295"/>
      <c r="AI43" s="295">
        <f t="shared" ref="AI43:AV43" si="58">AH43-1</f>
        <v>-1</v>
      </c>
      <c r="AJ43" s="295">
        <f t="shared" si="58"/>
        <v>-2</v>
      </c>
      <c r="AK43" s="295">
        <f t="shared" si="58"/>
        <v>-3</v>
      </c>
      <c r="AL43" s="295">
        <f t="shared" si="58"/>
        <v>-4</v>
      </c>
      <c r="AM43" s="295">
        <f t="shared" si="58"/>
        <v>-5</v>
      </c>
      <c r="AN43" s="295">
        <f t="shared" si="58"/>
        <v>-6</v>
      </c>
      <c r="AO43" s="295">
        <f t="shared" si="58"/>
        <v>-7</v>
      </c>
      <c r="AP43" s="295">
        <f t="shared" si="58"/>
        <v>-8</v>
      </c>
      <c r="AQ43" s="295">
        <f t="shared" si="58"/>
        <v>-9</v>
      </c>
      <c r="AR43" s="295">
        <f t="shared" si="58"/>
        <v>-10</v>
      </c>
      <c r="AS43" s="294">
        <f t="shared" si="58"/>
        <v>-11</v>
      </c>
      <c r="AT43" s="295">
        <f t="shared" si="58"/>
        <v>-12</v>
      </c>
      <c r="AU43" s="295">
        <f t="shared" si="58"/>
        <v>-13</v>
      </c>
      <c r="AV43" s="295">
        <f t="shared" si="58"/>
        <v>-14</v>
      </c>
      <c r="AW43" s="120"/>
      <c r="AX43" s="295"/>
      <c r="AY43" s="295">
        <f t="shared" ref="AY43:BL43" si="59">AX43-1</f>
        <v>-1</v>
      </c>
      <c r="AZ43" s="295">
        <f t="shared" si="59"/>
        <v>-2</v>
      </c>
      <c r="BA43" s="295">
        <f t="shared" si="59"/>
        <v>-3</v>
      </c>
      <c r="BB43" s="295">
        <f t="shared" si="59"/>
        <v>-4</v>
      </c>
      <c r="BC43" s="295">
        <f t="shared" si="59"/>
        <v>-5</v>
      </c>
      <c r="BD43" s="295">
        <f t="shared" si="59"/>
        <v>-6</v>
      </c>
      <c r="BE43" s="295">
        <f t="shared" si="59"/>
        <v>-7</v>
      </c>
      <c r="BF43" s="295">
        <f t="shared" si="59"/>
        <v>-8</v>
      </c>
      <c r="BG43" s="295">
        <f t="shared" si="59"/>
        <v>-9</v>
      </c>
      <c r="BH43" s="295">
        <f t="shared" si="59"/>
        <v>-10</v>
      </c>
      <c r="BI43" s="294">
        <f t="shared" si="59"/>
        <v>-11</v>
      </c>
      <c r="BJ43" s="295">
        <f t="shared" si="59"/>
        <v>-12</v>
      </c>
      <c r="BK43" s="295">
        <f t="shared" si="59"/>
        <v>-13</v>
      </c>
      <c r="BL43" s="295">
        <f t="shared" si="59"/>
        <v>-14</v>
      </c>
      <c r="BO43" s="295"/>
      <c r="BP43" s="295">
        <f t="shared" ref="BP43:CC43" si="60">BO43-1</f>
        <v>-1</v>
      </c>
      <c r="BQ43" s="295">
        <f t="shared" si="60"/>
        <v>-2</v>
      </c>
      <c r="BR43" s="295">
        <f t="shared" si="60"/>
        <v>-3</v>
      </c>
      <c r="BS43" s="295">
        <f t="shared" si="60"/>
        <v>-4</v>
      </c>
      <c r="BT43" s="295">
        <f t="shared" si="60"/>
        <v>-5</v>
      </c>
      <c r="BU43" s="295">
        <f t="shared" si="60"/>
        <v>-6</v>
      </c>
      <c r="BV43" s="295">
        <f t="shared" si="60"/>
        <v>-7</v>
      </c>
      <c r="BW43" s="295">
        <f t="shared" si="60"/>
        <v>-8</v>
      </c>
      <c r="BX43" s="295">
        <f t="shared" si="60"/>
        <v>-9</v>
      </c>
      <c r="BY43" s="295">
        <f t="shared" si="60"/>
        <v>-10</v>
      </c>
      <c r="BZ43" s="294">
        <f t="shared" si="60"/>
        <v>-11</v>
      </c>
      <c r="CA43" s="295">
        <f t="shared" si="60"/>
        <v>-12</v>
      </c>
      <c r="CB43" s="295">
        <f t="shared" si="60"/>
        <v>-13</v>
      </c>
      <c r="CC43" s="295">
        <f t="shared" si="60"/>
        <v>-14</v>
      </c>
      <c r="CE43" s="295"/>
      <c r="CF43" s="295">
        <f t="shared" ref="CF43:CS43" si="61">CE43-1</f>
        <v>-1</v>
      </c>
      <c r="CG43" s="295">
        <f t="shared" si="61"/>
        <v>-2</v>
      </c>
      <c r="CH43" s="295">
        <f t="shared" si="61"/>
        <v>-3</v>
      </c>
      <c r="CI43" s="295">
        <f t="shared" si="61"/>
        <v>-4</v>
      </c>
      <c r="CJ43" s="295">
        <f t="shared" si="61"/>
        <v>-5</v>
      </c>
      <c r="CK43" s="295">
        <f t="shared" si="61"/>
        <v>-6</v>
      </c>
      <c r="CL43" s="295">
        <f t="shared" si="61"/>
        <v>-7</v>
      </c>
      <c r="CM43" s="295">
        <f t="shared" si="61"/>
        <v>-8</v>
      </c>
      <c r="CN43" s="295">
        <f t="shared" si="61"/>
        <v>-9</v>
      </c>
      <c r="CO43" s="295">
        <f t="shared" si="61"/>
        <v>-10</v>
      </c>
      <c r="CP43" s="294">
        <f t="shared" si="61"/>
        <v>-11</v>
      </c>
      <c r="CQ43" s="295">
        <f t="shared" si="61"/>
        <v>-12</v>
      </c>
      <c r="CR43" s="295">
        <f t="shared" si="61"/>
        <v>-13</v>
      </c>
      <c r="CS43" s="295">
        <f t="shared" si="61"/>
        <v>-14</v>
      </c>
      <c r="CU43" s="295"/>
      <c r="CV43" s="295">
        <f t="shared" ref="CV43:DI43" si="62">CU43-1</f>
        <v>-1</v>
      </c>
      <c r="CW43" s="295">
        <f t="shared" si="62"/>
        <v>-2</v>
      </c>
      <c r="CX43" s="295">
        <f t="shared" si="62"/>
        <v>-3</v>
      </c>
      <c r="CY43" s="295">
        <f t="shared" si="62"/>
        <v>-4</v>
      </c>
      <c r="CZ43" s="295">
        <f t="shared" si="62"/>
        <v>-5</v>
      </c>
      <c r="DA43" s="295">
        <f t="shared" si="62"/>
        <v>-6</v>
      </c>
      <c r="DB43" s="295">
        <f t="shared" si="62"/>
        <v>-7</v>
      </c>
      <c r="DC43" s="295">
        <f t="shared" si="62"/>
        <v>-8</v>
      </c>
      <c r="DD43" s="295">
        <f t="shared" si="62"/>
        <v>-9</v>
      </c>
      <c r="DE43" s="295">
        <f t="shared" si="62"/>
        <v>-10</v>
      </c>
      <c r="DF43" s="294">
        <f t="shared" si="62"/>
        <v>-11</v>
      </c>
      <c r="DG43" s="295">
        <f t="shared" si="62"/>
        <v>-12</v>
      </c>
      <c r="DH43" s="295">
        <f t="shared" si="62"/>
        <v>-13</v>
      </c>
      <c r="DI43" s="295">
        <f t="shared" si="62"/>
        <v>-14</v>
      </c>
      <c r="DK43" s="295"/>
      <c r="DL43" s="295">
        <f t="shared" ref="DL43:DY43" si="63">DK43-1</f>
        <v>-1</v>
      </c>
      <c r="DM43" s="295">
        <f t="shared" si="63"/>
        <v>-2</v>
      </c>
      <c r="DN43" s="295">
        <f t="shared" si="63"/>
        <v>-3</v>
      </c>
      <c r="DO43" s="295">
        <f t="shared" si="63"/>
        <v>-4</v>
      </c>
      <c r="DP43" s="295">
        <f t="shared" si="63"/>
        <v>-5</v>
      </c>
      <c r="DQ43" s="295">
        <f t="shared" si="63"/>
        <v>-6</v>
      </c>
      <c r="DR43" s="295">
        <f t="shared" si="63"/>
        <v>-7</v>
      </c>
      <c r="DS43" s="295">
        <f t="shared" si="63"/>
        <v>-8</v>
      </c>
      <c r="DT43" s="295">
        <f t="shared" si="63"/>
        <v>-9</v>
      </c>
      <c r="DU43" s="295">
        <f t="shared" si="63"/>
        <v>-10</v>
      </c>
      <c r="DV43" s="294">
        <f t="shared" si="63"/>
        <v>-11</v>
      </c>
      <c r="DW43" s="295">
        <f t="shared" si="63"/>
        <v>-12</v>
      </c>
      <c r="DX43" s="295">
        <f t="shared" si="63"/>
        <v>-13</v>
      </c>
      <c r="DY43" s="295">
        <f t="shared" si="63"/>
        <v>-14</v>
      </c>
    </row>
    <row r="44" spans="1:202" x14ac:dyDescent="0.25">
      <c r="A44" s="296"/>
      <c r="B44" s="25"/>
      <c r="C44" s="26"/>
      <c r="D44" s="26"/>
      <c r="E44" s="297"/>
      <c r="F44" s="25"/>
      <c r="G44" s="297" t="s">
        <v>12</v>
      </c>
      <c r="H44" s="297" t="s">
        <v>12</v>
      </c>
      <c r="I44" s="297" t="s">
        <v>12</v>
      </c>
      <c r="J44" s="297" t="s">
        <v>12</v>
      </c>
      <c r="K44" s="297" t="s">
        <v>12</v>
      </c>
      <c r="L44" s="275" t="s">
        <v>12</v>
      </c>
      <c r="M44" s="296"/>
      <c r="N44" s="296"/>
      <c r="O44" s="296"/>
      <c r="R44" s="296"/>
      <c r="S44" s="25"/>
      <c r="T44" s="26"/>
      <c r="U44" s="26"/>
      <c r="V44" s="297"/>
      <c r="W44" s="25"/>
      <c r="X44" s="297" t="s">
        <v>12</v>
      </c>
      <c r="Y44" s="297" t="s">
        <v>12</v>
      </c>
      <c r="Z44" s="297" t="s">
        <v>12</v>
      </c>
      <c r="AA44" s="297" t="s">
        <v>12</v>
      </c>
      <c r="AB44" s="297" t="s">
        <v>12</v>
      </c>
      <c r="AC44" s="275" t="s">
        <v>12</v>
      </c>
      <c r="AD44" s="296"/>
      <c r="AE44" s="296"/>
      <c r="AF44" s="296"/>
      <c r="AG44" s="120"/>
      <c r="AH44" s="296"/>
      <c r="AI44" s="25"/>
      <c r="AJ44" s="26"/>
      <c r="AK44" s="26"/>
      <c r="AL44" s="297"/>
      <c r="AM44" s="25"/>
      <c r="AN44" s="297" t="s">
        <v>12</v>
      </c>
      <c r="AO44" s="297" t="s">
        <v>12</v>
      </c>
      <c r="AP44" s="297" t="s">
        <v>12</v>
      </c>
      <c r="AQ44" s="297" t="s">
        <v>12</v>
      </c>
      <c r="AR44" s="297" t="s">
        <v>12</v>
      </c>
      <c r="AS44" s="275" t="s">
        <v>12</v>
      </c>
      <c r="AT44" s="296"/>
      <c r="AU44" s="296"/>
      <c r="AV44" s="296"/>
      <c r="AW44" s="120"/>
      <c r="AX44" s="296"/>
      <c r="AY44" s="25"/>
      <c r="AZ44" s="26"/>
      <c r="BA44" s="26"/>
      <c r="BB44" s="297"/>
      <c r="BC44" s="25"/>
      <c r="BD44" s="297" t="s">
        <v>12</v>
      </c>
      <c r="BE44" s="297" t="s">
        <v>12</v>
      </c>
      <c r="BF44" s="297" t="s">
        <v>12</v>
      </c>
      <c r="BG44" s="297" t="s">
        <v>12</v>
      </c>
      <c r="BH44" s="297" t="s">
        <v>12</v>
      </c>
      <c r="BI44" s="275" t="s">
        <v>12</v>
      </c>
      <c r="BJ44" s="296"/>
      <c r="BK44" s="296"/>
      <c r="BL44" s="296"/>
      <c r="BO44" s="296"/>
      <c r="BP44" s="25"/>
      <c r="BQ44" s="26"/>
      <c r="BR44" s="26"/>
      <c r="BS44" s="297"/>
      <c r="BT44" s="25"/>
      <c r="BU44" s="297" t="s">
        <v>12</v>
      </c>
      <c r="BV44" s="297" t="s">
        <v>12</v>
      </c>
      <c r="BW44" s="297" t="s">
        <v>12</v>
      </c>
      <c r="BX44" s="297" t="s">
        <v>12</v>
      </c>
      <c r="BY44" s="297" t="s">
        <v>12</v>
      </c>
      <c r="BZ44" s="275" t="s">
        <v>12</v>
      </c>
      <c r="CA44" s="296"/>
      <c r="CB44" s="296"/>
      <c r="CC44" s="296"/>
      <c r="CE44" s="296"/>
      <c r="CF44" s="25"/>
      <c r="CG44" s="26"/>
      <c r="CH44" s="26"/>
      <c r="CI44" s="297"/>
      <c r="CJ44" s="25"/>
      <c r="CK44" s="297" t="s">
        <v>12</v>
      </c>
      <c r="CL44" s="297" t="s">
        <v>12</v>
      </c>
      <c r="CM44" s="297" t="s">
        <v>12</v>
      </c>
      <c r="CN44" s="297" t="s">
        <v>12</v>
      </c>
      <c r="CO44" s="297" t="s">
        <v>12</v>
      </c>
      <c r="CP44" s="275" t="s">
        <v>12</v>
      </c>
      <c r="CQ44" s="296"/>
      <c r="CR44" s="296"/>
      <c r="CS44" s="296"/>
      <c r="CU44" s="296"/>
      <c r="CV44" s="25"/>
      <c r="CW44" s="26"/>
      <c r="CX44" s="26"/>
      <c r="CY44" s="297"/>
      <c r="CZ44" s="25"/>
      <c r="DA44" s="297" t="s">
        <v>12</v>
      </c>
      <c r="DB44" s="297" t="s">
        <v>12</v>
      </c>
      <c r="DC44" s="297" t="s">
        <v>12</v>
      </c>
      <c r="DD44" s="297" t="s">
        <v>12</v>
      </c>
      <c r="DE44" s="297" t="s">
        <v>12</v>
      </c>
      <c r="DF44" s="275" t="s">
        <v>12</v>
      </c>
      <c r="DG44" s="296"/>
      <c r="DH44" s="296"/>
      <c r="DI44" s="296"/>
      <c r="DK44" s="296"/>
      <c r="DL44" s="25"/>
      <c r="DM44" s="26"/>
      <c r="DN44" s="26"/>
      <c r="DO44" s="297"/>
      <c r="DP44" s="25"/>
      <c r="DQ44" s="297" t="s">
        <v>12</v>
      </c>
      <c r="DR44" s="297" t="s">
        <v>12</v>
      </c>
      <c r="DS44" s="297" t="s">
        <v>12</v>
      </c>
      <c r="DT44" s="297" t="s">
        <v>12</v>
      </c>
      <c r="DU44" s="297" t="s">
        <v>12</v>
      </c>
      <c r="DV44" s="275" t="s">
        <v>12</v>
      </c>
      <c r="DW44" s="296"/>
      <c r="DX44" s="296"/>
      <c r="DY44" s="296"/>
    </row>
    <row r="45" spans="1:202" x14ac:dyDescent="0.25">
      <c r="A45" s="296"/>
      <c r="B45" s="297"/>
      <c r="C45" s="297"/>
      <c r="D45" s="297"/>
      <c r="E45" s="297"/>
      <c r="F45" s="297"/>
      <c r="G45" s="297" t="s">
        <v>13</v>
      </c>
      <c r="H45" s="297" t="s">
        <v>13</v>
      </c>
      <c r="I45" s="297" t="s">
        <v>13</v>
      </c>
      <c r="J45" s="297" t="s">
        <v>13</v>
      </c>
      <c r="K45" s="297" t="s">
        <v>13</v>
      </c>
      <c r="L45" s="275" t="s">
        <v>13</v>
      </c>
      <c r="M45" s="296"/>
      <c r="N45" s="296"/>
      <c r="O45" s="296"/>
      <c r="R45" s="296"/>
      <c r="S45" s="297"/>
      <c r="T45" s="297"/>
      <c r="U45" s="297"/>
      <c r="V45" s="297"/>
      <c r="W45" s="297"/>
      <c r="X45" s="297" t="s">
        <v>13</v>
      </c>
      <c r="Y45" s="297" t="s">
        <v>13</v>
      </c>
      <c r="Z45" s="297" t="s">
        <v>13</v>
      </c>
      <c r="AA45" s="297" t="s">
        <v>13</v>
      </c>
      <c r="AB45" s="297" t="s">
        <v>13</v>
      </c>
      <c r="AC45" s="275" t="s">
        <v>13</v>
      </c>
      <c r="AD45" s="296"/>
      <c r="AE45" s="296"/>
      <c r="AF45" s="296"/>
      <c r="AG45" s="120"/>
      <c r="AH45" s="296"/>
      <c r="AI45" s="297"/>
      <c r="AJ45" s="297"/>
      <c r="AK45" s="297"/>
      <c r="AL45" s="297"/>
      <c r="AM45" s="297"/>
      <c r="AN45" s="297" t="s">
        <v>13</v>
      </c>
      <c r="AO45" s="297" t="s">
        <v>13</v>
      </c>
      <c r="AP45" s="297" t="s">
        <v>13</v>
      </c>
      <c r="AQ45" s="297" t="s">
        <v>13</v>
      </c>
      <c r="AR45" s="297" t="s">
        <v>13</v>
      </c>
      <c r="AS45" s="275" t="s">
        <v>13</v>
      </c>
      <c r="AT45" s="296"/>
      <c r="AU45" s="296"/>
      <c r="AV45" s="296"/>
      <c r="AW45" s="120"/>
      <c r="AX45" s="296"/>
      <c r="AY45" s="297"/>
      <c r="AZ45" s="297"/>
      <c r="BA45" s="297"/>
      <c r="BB45" s="297"/>
      <c r="BC45" s="297"/>
      <c r="BD45" s="297" t="s">
        <v>13</v>
      </c>
      <c r="BE45" s="297" t="s">
        <v>13</v>
      </c>
      <c r="BF45" s="297" t="s">
        <v>13</v>
      </c>
      <c r="BG45" s="297" t="s">
        <v>13</v>
      </c>
      <c r="BH45" s="297" t="s">
        <v>13</v>
      </c>
      <c r="BI45" s="275" t="s">
        <v>13</v>
      </c>
      <c r="BJ45" s="296"/>
      <c r="BK45" s="296"/>
      <c r="BL45" s="296"/>
      <c r="BO45" s="296"/>
      <c r="BP45" s="297"/>
      <c r="BQ45" s="297"/>
      <c r="BR45" s="297"/>
      <c r="BS45" s="297"/>
      <c r="BT45" s="297"/>
      <c r="BU45" s="297" t="s">
        <v>13</v>
      </c>
      <c r="BV45" s="297" t="s">
        <v>13</v>
      </c>
      <c r="BW45" s="297" t="s">
        <v>13</v>
      </c>
      <c r="BX45" s="297" t="s">
        <v>13</v>
      </c>
      <c r="BY45" s="297" t="s">
        <v>13</v>
      </c>
      <c r="BZ45" s="275" t="s">
        <v>13</v>
      </c>
      <c r="CA45" s="296"/>
      <c r="CB45" s="296"/>
      <c r="CC45" s="296"/>
      <c r="CE45" s="296"/>
      <c r="CF45" s="297"/>
      <c r="CG45" s="297"/>
      <c r="CH45" s="297"/>
      <c r="CI45" s="297"/>
      <c r="CJ45" s="297"/>
      <c r="CK45" s="297" t="s">
        <v>13</v>
      </c>
      <c r="CL45" s="297" t="s">
        <v>13</v>
      </c>
      <c r="CM45" s="297" t="s">
        <v>13</v>
      </c>
      <c r="CN45" s="297" t="s">
        <v>13</v>
      </c>
      <c r="CO45" s="297" t="s">
        <v>13</v>
      </c>
      <c r="CP45" s="275" t="s">
        <v>13</v>
      </c>
      <c r="CQ45" s="296"/>
      <c r="CR45" s="296"/>
      <c r="CS45" s="296"/>
      <c r="CU45" s="296"/>
      <c r="CV45" s="297"/>
      <c r="CW45" s="297"/>
      <c r="CX45" s="297"/>
      <c r="CY45" s="297"/>
      <c r="CZ45" s="297"/>
      <c r="DA45" s="297" t="s">
        <v>13</v>
      </c>
      <c r="DB45" s="297" t="s">
        <v>13</v>
      </c>
      <c r="DC45" s="297" t="s">
        <v>13</v>
      </c>
      <c r="DD45" s="297" t="s">
        <v>13</v>
      </c>
      <c r="DE45" s="297" t="s">
        <v>13</v>
      </c>
      <c r="DF45" s="275" t="s">
        <v>13</v>
      </c>
      <c r="DG45" s="296"/>
      <c r="DH45" s="296"/>
      <c r="DI45" s="296"/>
      <c r="DK45" s="296"/>
      <c r="DL45" s="297"/>
      <c r="DM45" s="297"/>
      <c r="DN45" s="297"/>
      <c r="DO45" s="297"/>
      <c r="DP45" s="297"/>
      <c r="DQ45" s="297" t="s">
        <v>13</v>
      </c>
      <c r="DR45" s="297" t="s">
        <v>13</v>
      </c>
      <c r="DS45" s="297" t="s">
        <v>13</v>
      </c>
      <c r="DT45" s="297" t="s">
        <v>13</v>
      </c>
      <c r="DU45" s="297" t="s">
        <v>13</v>
      </c>
      <c r="DV45" s="275" t="s">
        <v>13</v>
      </c>
      <c r="DW45" s="296"/>
      <c r="DX45" s="296"/>
      <c r="DY45" s="296"/>
    </row>
    <row r="46" spans="1:202" x14ac:dyDescent="0.25">
      <c r="A46" s="297" t="s">
        <v>3</v>
      </c>
      <c r="B46" s="297"/>
      <c r="C46" s="297" t="s">
        <v>14</v>
      </c>
      <c r="D46" s="297" t="s">
        <v>15</v>
      </c>
      <c r="E46" s="297" t="s">
        <v>16</v>
      </c>
      <c r="F46" s="297" t="s">
        <v>17</v>
      </c>
      <c r="G46" s="297" t="s">
        <v>18</v>
      </c>
      <c r="H46" s="297" t="s">
        <v>19</v>
      </c>
      <c r="I46" s="297" t="s">
        <v>18</v>
      </c>
      <c r="J46" s="297" t="s">
        <v>19</v>
      </c>
      <c r="K46" s="297" t="s">
        <v>20</v>
      </c>
      <c r="L46" s="275" t="s">
        <v>21</v>
      </c>
      <c r="M46" s="297" t="s">
        <v>6</v>
      </c>
      <c r="N46" s="297" t="s">
        <v>22</v>
      </c>
      <c r="O46" s="297" t="s">
        <v>23</v>
      </c>
      <c r="R46" s="297" t="s">
        <v>3</v>
      </c>
      <c r="S46" s="297"/>
      <c r="T46" s="297" t="s">
        <v>14</v>
      </c>
      <c r="U46" s="297" t="s">
        <v>15</v>
      </c>
      <c r="V46" s="297" t="s">
        <v>16</v>
      </c>
      <c r="W46" s="297" t="s">
        <v>17</v>
      </c>
      <c r="X46" s="297" t="s">
        <v>18</v>
      </c>
      <c r="Y46" s="297" t="s">
        <v>19</v>
      </c>
      <c r="Z46" s="297" t="s">
        <v>18</v>
      </c>
      <c r="AA46" s="297" t="s">
        <v>19</v>
      </c>
      <c r="AB46" s="297" t="s">
        <v>20</v>
      </c>
      <c r="AC46" s="275" t="s">
        <v>21</v>
      </c>
      <c r="AD46" s="297" t="s">
        <v>6</v>
      </c>
      <c r="AE46" s="297" t="s">
        <v>22</v>
      </c>
      <c r="AF46" s="297" t="s">
        <v>23</v>
      </c>
      <c r="AG46" s="120"/>
      <c r="AH46" s="297" t="s">
        <v>3</v>
      </c>
      <c r="AI46" s="297"/>
      <c r="AJ46" s="297" t="s">
        <v>14</v>
      </c>
      <c r="AK46" s="297" t="s">
        <v>15</v>
      </c>
      <c r="AL46" s="297" t="s">
        <v>16</v>
      </c>
      <c r="AM46" s="297" t="s">
        <v>17</v>
      </c>
      <c r="AN46" s="297" t="s">
        <v>18</v>
      </c>
      <c r="AO46" s="297" t="s">
        <v>19</v>
      </c>
      <c r="AP46" s="297" t="s">
        <v>18</v>
      </c>
      <c r="AQ46" s="297" t="s">
        <v>19</v>
      </c>
      <c r="AR46" s="297" t="s">
        <v>20</v>
      </c>
      <c r="AS46" s="275" t="s">
        <v>21</v>
      </c>
      <c r="AT46" s="297" t="s">
        <v>6</v>
      </c>
      <c r="AU46" s="297" t="s">
        <v>22</v>
      </c>
      <c r="AV46" s="297" t="s">
        <v>23</v>
      </c>
      <c r="AW46" s="120"/>
      <c r="AX46" s="297" t="s">
        <v>3</v>
      </c>
      <c r="AY46" s="297"/>
      <c r="AZ46" s="297" t="s">
        <v>14</v>
      </c>
      <c r="BA46" s="297" t="s">
        <v>15</v>
      </c>
      <c r="BB46" s="297" t="s">
        <v>16</v>
      </c>
      <c r="BC46" s="297" t="s">
        <v>17</v>
      </c>
      <c r="BD46" s="297" t="s">
        <v>18</v>
      </c>
      <c r="BE46" s="297" t="s">
        <v>19</v>
      </c>
      <c r="BF46" s="297" t="s">
        <v>18</v>
      </c>
      <c r="BG46" s="297" t="s">
        <v>19</v>
      </c>
      <c r="BH46" s="297" t="s">
        <v>20</v>
      </c>
      <c r="BI46" s="275" t="s">
        <v>21</v>
      </c>
      <c r="BJ46" s="297" t="s">
        <v>6</v>
      </c>
      <c r="BK46" s="297" t="s">
        <v>22</v>
      </c>
      <c r="BL46" s="297" t="s">
        <v>23</v>
      </c>
      <c r="BO46" s="297" t="s">
        <v>3</v>
      </c>
      <c r="BP46" s="297"/>
      <c r="BQ46" s="297" t="s">
        <v>14</v>
      </c>
      <c r="BR46" s="297" t="s">
        <v>15</v>
      </c>
      <c r="BS46" s="297" t="s">
        <v>16</v>
      </c>
      <c r="BT46" s="297" t="s">
        <v>17</v>
      </c>
      <c r="BU46" s="297" t="s">
        <v>18</v>
      </c>
      <c r="BV46" s="297" t="s">
        <v>19</v>
      </c>
      <c r="BW46" s="297" t="s">
        <v>18</v>
      </c>
      <c r="BX46" s="297" t="s">
        <v>19</v>
      </c>
      <c r="BY46" s="297" t="s">
        <v>20</v>
      </c>
      <c r="BZ46" s="275" t="s">
        <v>21</v>
      </c>
      <c r="CA46" s="297" t="s">
        <v>6</v>
      </c>
      <c r="CB46" s="297" t="s">
        <v>22</v>
      </c>
      <c r="CC46" s="297" t="s">
        <v>23</v>
      </c>
      <c r="CE46" s="297" t="s">
        <v>3</v>
      </c>
      <c r="CF46" s="297"/>
      <c r="CG46" s="297" t="s">
        <v>14</v>
      </c>
      <c r="CH46" s="297" t="s">
        <v>15</v>
      </c>
      <c r="CI46" s="297" t="s">
        <v>16</v>
      </c>
      <c r="CJ46" s="297" t="s">
        <v>17</v>
      </c>
      <c r="CK46" s="297" t="s">
        <v>18</v>
      </c>
      <c r="CL46" s="297" t="s">
        <v>19</v>
      </c>
      <c r="CM46" s="297" t="s">
        <v>18</v>
      </c>
      <c r="CN46" s="297" t="s">
        <v>19</v>
      </c>
      <c r="CO46" s="297" t="s">
        <v>20</v>
      </c>
      <c r="CP46" s="275" t="s">
        <v>21</v>
      </c>
      <c r="CQ46" s="297" t="s">
        <v>6</v>
      </c>
      <c r="CR46" s="297" t="s">
        <v>22</v>
      </c>
      <c r="CS46" s="297" t="s">
        <v>23</v>
      </c>
      <c r="CU46" s="297" t="s">
        <v>3</v>
      </c>
      <c r="CV46" s="297"/>
      <c r="CW46" s="297" t="s">
        <v>14</v>
      </c>
      <c r="CX46" s="297" t="s">
        <v>15</v>
      </c>
      <c r="CY46" s="297" t="s">
        <v>16</v>
      </c>
      <c r="CZ46" s="297" t="s">
        <v>17</v>
      </c>
      <c r="DA46" s="297" t="s">
        <v>18</v>
      </c>
      <c r="DB46" s="297" t="s">
        <v>19</v>
      </c>
      <c r="DC46" s="297" t="s">
        <v>18</v>
      </c>
      <c r="DD46" s="297" t="s">
        <v>19</v>
      </c>
      <c r="DE46" s="297" t="s">
        <v>20</v>
      </c>
      <c r="DF46" s="275" t="s">
        <v>21</v>
      </c>
      <c r="DG46" s="297" t="s">
        <v>6</v>
      </c>
      <c r="DH46" s="297" t="s">
        <v>22</v>
      </c>
      <c r="DI46" s="297" t="s">
        <v>23</v>
      </c>
      <c r="DK46" s="297" t="s">
        <v>3</v>
      </c>
      <c r="DL46" s="297"/>
      <c r="DM46" s="297" t="s">
        <v>14</v>
      </c>
      <c r="DN46" s="297" t="s">
        <v>15</v>
      </c>
      <c r="DO46" s="297" t="s">
        <v>16</v>
      </c>
      <c r="DP46" s="297" t="s">
        <v>17</v>
      </c>
      <c r="DQ46" s="297" t="s">
        <v>18</v>
      </c>
      <c r="DR46" s="297" t="s">
        <v>19</v>
      </c>
      <c r="DS46" s="297" t="s">
        <v>18</v>
      </c>
      <c r="DT46" s="297" t="s">
        <v>19</v>
      </c>
      <c r="DU46" s="297" t="s">
        <v>20</v>
      </c>
      <c r="DV46" s="275" t="s">
        <v>21</v>
      </c>
      <c r="DW46" s="297" t="s">
        <v>6</v>
      </c>
      <c r="DX46" s="297" t="s">
        <v>22</v>
      </c>
      <c r="DY46" s="297" t="s">
        <v>23</v>
      </c>
    </row>
    <row r="47" spans="1:202" ht="15.75" thickBot="1" x14ac:dyDescent="0.3">
      <c r="A47" s="298" t="s">
        <v>7</v>
      </c>
      <c r="B47" s="298" t="s">
        <v>17</v>
      </c>
      <c r="C47" s="298" t="s">
        <v>24</v>
      </c>
      <c r="D47" s="298" t="s">
        <v>25</v>
      </c>
      <c r="E47" s="298" t="s">
        <v>26</v>
      </c>
      <c r="F47" s="298" t="s">
        <v>27</v>
      </c>
      <c r="G47" s="298" t="s">
        <v>28</v>
      </c>
      <c r="H47" s="298" t="s">
        <v>29</v>
      </c>
      <c r="I47" s="298" t="s">
        <v>23</v>
      </c>
      <c r="J47" s="298" t="s">
        <v>30</v>
      </c>
      <c r="K47" s="298" t="s">
        <v>7</v>
      </c>
      <c r="L47" s="277" t="s">
        <v>5</v>
      </c>
      <c r="M47" s="298" t="s">
        <v>31</v>
      </c>
      <c r="N47" s="298" t="s">
        <v>32</v>
      </c>
      <c r="O47" s="298" t="s">
        <v>25</v>
      </c>
      <c r="R47" s="298" t="s">
        <v>7</v>
      </c>
      <c r="S47" s="298" t="s">
        <v>17</v>
      </c>
      <c r="T47" s="298" t="s">
        <v>24</v>
      </c>
      <c r="U47" s="298" t="s">
        <v>25</v>
      </c>
      <c r="V47" s="298" t="s">
        <v>26</v>
      </c>
      <c r="W47" s="298" t="s">
        <v>27</v>
      </c>
      <c r="X47" s="298" t="s">
        <v>28</v>
      </c>
      <c r="Y47" s="298" t="s">
        <v>29</v>
      </c>
      <c r="Z47" s="298" t="s">
        <v>23</v>
      </c>
      <c r="AA47" s="298" t="s">
        <v>30</v>
      </c>
      <c r="AB47" s="298" t="s">
        <v>7</v>
      </c>
      <c r="AC47" s="277" t="s">
        <v>5</v>
      </c>
      <c r="AD47" s="298" t="s">
        <v>31</v>
      </c>
      <c r="AE47" s="298" t="s">
        <v>32</v>
      </c>
      <c r="AF47" s="298" t="s">
        <v>25</v>
      </c>
      <c r="AG47" s="120"/>
      <c r="AH47" s="298" t="s">
        <v>7</v>
      </c>
      <c r="AI47" s="298" t="s">
        <v>17</v>
      </c>
      <c r="AJ47" s="298" t="s">
        <v>24</v>
      </c>
      <c r="AK47" s="298" t="s">
        <v>25</v>
      </c>
      <c r="AL47" s="298" t="s">
        <v>26</v>
      </c>
      <c r="AM47" s="298" t="s">
        <v>27</v>
      </c>
      <c r="AN47" s="298" t="s">
        <v>28</v>
      </c>
      <c r="AO47" s="298" t="s">
        <v>29</v>
      </c>
      <c r="AP47" s="298" t="s">
        <v>23</v>
      </c>
      <c r="AQ47" s="298" t="s">
        <v>30</v>
      </c>
      <c r="AR47" s="298" t="s">
        <v>7</v>
      </c>
      <c r="AS47" s="277" t="s">
        <v>5</v>
      </c>
      <c r="AT47" s="298" t="s">
        <v>31</v>
      </c>
      <c r="AU47" s="298" t="s">
        <v>32</v>
      </c>
      <c r="AV47" s="298" t="s">
        <v>25</v>
      </c>
      <c r="AW47" s="120"/>
      <c r="AX47" s="298" t="s">
        <v>7</v>
      </c>
      <c r="AY47" s="298" t="s">
        <v>17</v>
      </c>
      <c r="AZ47" s="298" t="s">
        <v>24</v>
      </c>
      <c r="BA47" s="298" t="s">
        <v>25</v>
      </c>
      <c r="BB47" s="298" t="s">
        <v>26</v>
      </c>
      <c r="BC47" s="298" t="s">
        <v>27</v>
      </c>
      <c r="BD47" s="298" t="s">
        <v>28</v>
      </c>
      <c r="BE47" s="298" t="s">
        <v>29</v>
      </c>
      <c r="BF47" s="298" t="s">
        <v>23</v>
      </c>
      <c r="BG47" s="298" t="s">
        <v>30</v>
      </c>
      <c r="BH47" s="298" t="s">
        <v>7</v>
      </c>
      <c r="BI47" s="277" t="s">
        <v>5</v>
      </c>
      <c r="BJ47" s="298" t="s">
        <v>31</v>
      </c>
      <c r="BK47" s="298" t="s">
        <v>32</v>
      </c>
      <c r="BL47" s="298" t="s">
        <v>25</v>
      </c>
      <c r="BO47" s="298" t="s">
        <v>7</v>
      </c>
      <c r="BP47" s="298" t="s">
        <v>17</v>
      </c>
      <c r="BQ47" s="298" t="s">
        <v>24</v>
      </c>
      <c r="BR47" s="298" t="s">
        <v>25</v>
      </c>
      <c r="BS47" s="298" t="s">
        <v>26</v>
      </c>
      <c r="BT47" s="298" t="s">
        <v>27</v>
      </c>
      <c r="BU47" s="298" t="s">
        <v>28</v>
      </c>
      <c r="BV47" s="298" t="s">
        <v>29</v>
      </c>
      <c r="BW47" s="298" t="s">
        <v>23</v>
      </c>
      <c r="BX47" s="298" t="s">
        <v>30</v>
      </c>
      <c r="BY47" s="298" t="s">
        <v>7</v>
      </c>
      <c r="BZ47" s="277" t="s">
        <v>5</v>
      </c>
      <c r="CA47" s="298" t="s">
        <v>31</v>
      </c>
      <c r="CB47" s="298" t="s">
        <v>32</v>
      </c>
      <c r="CC47" s="298" t="s">
        <v>25</v>
      </c>
      <c r="CE47" s="298" t="s">
        <v>7</v>
      </c>
      <c r="CF47" s="298" t="s">
        <v>17</v>
      </c>
      <c r="CG47" s="298" t="s">
        <v>24</v>
      </c>
      <c r="CH47" s="298" t="s">
        <v>25</v>
      </c>
      <c r="CI47" s="298" t="s">
        <v>26</v>
      </c>
      <c r="CJ47" s="298" t="s">
        <v>27</v>
      </c>
      <c r="CK47" s="298" t="s">
        <v>28</v>
      </c>
      <c r="CL47" s="298" t="s">
        <v>29</v>
      </c>
      <c r="CM47" s="298" t="s">
        <v>23</v>
      </c>
      <c r="CN47" s="298" t="s">
        <v>30</v>
      </c>
      <c r="CO47" s="298" t="s">
        <v>7</v>
      </c>
      <c r="CP47" s="277" t="s">
        <v>5</v>
      </c>
      <c r="CQ47" s="298" t="s">
        <v>31</v>
      </c>
      <c r="CR47" s="298" t="s">
        <v>32</v>
      </c>
      <c r="CS47" s="298" t="s">
        <v>25</v>
      </c>
      <c r="CU47" s="298" t="s">
        <v>7</v>
      </c>
      <c r="CV47" s="298" t="s">
        <v>17</v>
      </c>
      <c r="CW47" s="298" t="s">
        <v>24</v>
      </c>
      <c r="CX47" s="298" t="s">
        <v>25</v>
      </c>
      <c r="CY47" s="298" t="s">
        <v>26</v>
      </c>
      <c r="CZ47" s="298" t="s">
        <v>27</v>
      </c>
      <c r="DA47" s="298" t="s">
        <v>28</v>
      </c>
      <c r="DB47" s="298" t="s">
        <v>29</v>
      </c>
      <c r="DC47" s="298" t="s">
        <v>23</v>
      </c>
      <c r="DD47" s="298" t="s">
        <v>30</v>
      </c>
      <c r="DE47" s="298" t="s">
        <v>7</v>
      </c>
      <c r="DF47" s="277" t="s">
        <v>5</v>
      </c>
      <c r="DG47" s="298" t="s">
        <v>31</v>
      </c>
      <c r="DH47" s="298" t="s">
        <v>32</v>
      </c>
      <c r="DI47" s="298" t="s">
        <v>25</v>
      </c>
      <c r="DK47" s="298" t="s">
        <v>7</v>
      </c>
      <c r="DL47" s="298" t="s">
        <v>17</v>
      </c>
      <c r="DM47" s="298" t="s">
        <v>24</v>
      </c>
      <c r="DN47" s="298" t="s">
        <v>25</v>
      </c>
      <c r="DO47" s="298" t="s">
        <v>26</v>
      </c>
      <c r="DP47" s="298" t="s">
        <v>27</v>
      </c>
      <c r="DQ47" s="298" t="s">
        <v>28</v>
      </c>
      <c r="DR47" s="298" t="s">
        <v>29</v>
      </c>
      <c r="DS47" s="298" t="s">
        <v>23</v>
      </c>
      <c r="DT47" s="298" t="s">
        <v>30</v>
      </c>
      <c r="DU47" s="298" t="s">
        <v>7</v>
      </c>
      <c r="DV47" s="277" t="s">
        <v>5</v>
      </c>
      <c r="DW47" s="298" t="s">
        <v>31</v>
      </c>
      <c r="DX47" s="298" t="s">
        <v>32</v>
      </c>
      <c r="DY47" s="298" t="s">
        <v>25</v>
      </c>
    </row>
    <row r="48" spans="1:202" x14ac:dyDescent="0.25">
      <c r="A48" s="133"/>
      <c r="B48" s="101"/>
      <c r="C48" s="101"/>
      <c r="D48" s="101"/>
      <c r="E48" s="101"/>
      <c r="F48" s="101"/>
      <c r="G48" s="101"/>
      <c r="H48" s="101"/>
      <c r="I48" s="101"/>
      <c r="J48" s="101"/>
      <c r="K48" s="306">
        <v>0</v>
      </c>
      <c r="O48" s="120"/>
      <c r="R48" s="133"/>
      <c r="S48" s="101"/>
      <c r="T48" s="101"/>
      <c r="U48" s="101"/>
      <c r="V48" s="101"/>
      <c r="W48" s="101"/>
      <c r="X48" s="101"/>
      <c r="Y48" s="101"/>
      <c r="Z48" s="101"/>
      <c r="AA48" s="101"/>
      <c r="AB48" s="306">
        <v>0</v>
      </c>
      <c r="AF48" s="102"/>
      <c r="AG48" s="120"/>
      <c r="AH48" s="133"/>
      <c r="AI48" s="101"/>
      <c r="AJ48" s="101"/>
      <c r="AK48" s="101"/>
      <c r="AL48" s="101"/>
      <c r="AM48" s="101"/>
      <c r="AN48" s="101"/>
      <c r="AO48" s="101"/>
      <c r="AP48" s="101"/>
      <c r="AQ48" s="101"/>
      <c r="AR48" s="306">
        <v>0</v>
      </c>
      <c r="AV48" s="102"/>
      <c r="AW48" s="120"/>
      <c r="AX48" s="133"/>
      <c r="AY48" s="101"/>
      <c r="AZ48" s="101"/>
      <c r="BA48" s="101"/>
      <c r="BB48" s="101"/>
      <c r="BC48" s="101"/>
      <c r="BD48" s="101"/>
      <c r="BE48" s="101"/>
      <c r="BF48" s="101"/>
      <c r="BG48" s="101"/>
      <c r="BH48" s="306">
        <v>0</v>
      </c>
      <c r="BL48" s="102"/>
      <c r="BO48" s="133"/>
      <c r="BP48" s="101"/>
      <c r="BQ48" s="101"/>
      <c r="BR48" s="101"/>
      <c r="BS48" s="101"/>
      <c r="BT48" s="101"/>
      <c r="BU48" s="101"/>
      <c r="BV48" s="101"/>
      <c r="BW48" s="101"/>
      <c r="BX48" s="101"/>
      <c r="BY48" s="306">
        <v>0</v>
      </c>
      <c r="CC48" s="120"/>
      <c r="CE48" s="133"/>
      <c r="CF48" s="101"/>
      <c r="CG48" s="101"/>
      <c r="CH48" s="101"/>
      <c r="CI48" s="101"/>
      <c r="CJ48" s="101"/>
      <c r="CK48" s="101"/>
      <c r="CL48" s="101"/>
      <c r="CM48" s="101"/>
      <c r="CN48" s="101"/>
      <c r="CO48" s="306">
        <v>0</v>
      </c>
      <c r="CS48" s="102"/>
      <c r="CU48" s="133"/>
      <c r="CV48" s="101"/>
      <c r="CW48" s="101"/>
      <c r="CX48" s="101"/>
      <c r="CY48" s="101"/>
      <c r="CZ48" s="101"/>
      <c r="DA48" s="101"/>
      <c r="DB48" s="101"/>
      <c r="DC48" s="101"/>
      <c r="DD48" s="101"/>
      <c r="DE48" s="306">
        <v>0</v>
      </c>
      <c r="DI48" s="120"/>
      <c r="DK48" s="133"/>
      <c r="DL48" s="101"/>
      <c r="DM48" s="101"/>
      <c r="DN48" s="101"/>
      <c r="DO48" s="101"/>
      <c r="DP48" s="101"/>
      <c r="DQ48" s="101"/>
      <c r="DR48" s="101"/>
      <c r="DS48" s="101"/>
      <c r="DT48" s="101"/>
      <c r="DU48" s="306">
        <v>0</v>
      </c>
      <c r="DY48" s="102"/>
    </row>
    <row r="49" spans="1:147" x14ac:dyDescent="0.25">
      <c r="A49" s="137">
        <v>1</v>
      </c>
      <c r="B49" s="85">
        <f>'Table 12-IUL Census'!G11*'Tables 26a,b-MasterInputs'!$C31</f>
        <v>3500000</v>
      </c>
      <c r="C49" s="174">
        <f>MAX(('Table 7-10-OptionBudget'!$D$45/100)*(K48+B49+D49+E49+F49),0)</f>
        <v>89631.556486278423</v>
      </c>
      <c r="D49" s="174">
        <f>-'Tables 26a,b-MasterInputs'!$E56*('Table 12-IUL Census'!$G11*1000/(1+('Tables 26a,b-MasterInputs'!E31))-(K48+B49+E49+F49))</f>
        <v>-150641.56097560978</v>
      </c>
      <c r="E49" s="174">
        <f>-'Tables 26a,b-MasterInputs'!$G56*'Table 12-IUL Census'!$D11</f>
        <v>-20000</v>
      </c>
      <c r="F49" s="174">
        <f>-'Tables 26a,b-MasterInputs'!$F56*B49</f>
        <v>-70000</v>
      </c>
      <c r="G49" s="85">
        <f t="shared" ref="G49:G68" si="64">MAX((B49+F49)+C49+D49+E49+K48,0)</f>
        <v>3348989.9955106685</v>
      </c>
      <c r="H49" s="85">
        <f>-G49*'Tables 26a,b-MasterInputs'!$I56</f>
        <v>-2679.191996408535</v>
      </c>
      <c r="I49" s="85">
        <f t="shared" ref="I49:I68" si="65">G49+H49</f>
        <v>3346310.8035142599</v>
      </c>
      <c r="J49" s="85">
        <f>-I49*'Tables 26a,b-MasterInputs'!$J56</f>
        <v>-501946.62052713893</v>
      </c>
      <c r="K49" s="299">
        <f t="shared" ref="K49:K68" si="66">I49+J49</f>
        <v>2844364.1829871209</v>
      </c>
      <c r="L49" s="107">
        <f>IFERROR(K49/'Table 12-IUL Census'!$G12,0)</f>
        <v>33.489899955106686</v>
      </c>
      <c r="M49" s="88">
        <f>'Table 12-IUL Census'!$F12</f>
        <v>14988</v>
      </c>
      <c r="N49" s="89">
        <f>'Tables 26a,b-MasterInputs'!$H56</f>
        <v>20</v>
      </c>
      <c r="O49" s="175">
        <f t="shared" ref="O49:O68" si="67">M49*N49</f>
        <v>299760</v>
      </c>
      <c r="R49" s="137">
        <v>1</v>
      </c>
      <c r="S49" s="85">
        <f>'Table 12-IUL Census'!$G11*'Tables 26a,b-MasterInputs'!$C31</f>
        <v>3500000</v>
      </c>
      <c r="T49" s="174">
        <f>MAX(('Table 7-10-OptionBudget'!$D$45/100)*(AB48+S49+U49+V49+W49),0)</f>
        <v>89631.556486278423</v>
      </c>
      <c r="U49" s="174">
        <f>-'Tables 26a,b-MasterInputs'!$E56*('Table 12-IUL Census'!$G11*1000/(1+('Tables 26a,b-MasterInputs'!E31))-(AB48+S49+V49+W49))</f>
        <v>-150641.56097560978</v>
      </c>
      <c r="V49" s="174">
        <f>-'Tables 26a,b-MasterInputs'!$G56*'Table 12-IUL Census'!$D11</f>
        <v>-20000</v>
      </c>
      <c r="W49" s="174">
        <f>-'Tables 26a,b-MasterInputs'!$F56*S49</f>
        <v>-70000</v>
      </c>
      <c r="X49" s="85">
        <f t="shared" ref="X49:X68" si="68">(S49+W49)+T49+U49+V49+AB48</f>
        <v>3348989.9955106685</v>
      </c>
      <c r="Y49" s="85">
        <f>-X49*'Tables 26a,b-MasterInputs'!$I56</f>
        <v>-2679.191996408535</v>
      </c>
      <c r="Z49" s="85">
        <f t="shared" ref="Z49:Z68" si="69">X49+Y49</f>
        <v>3346310.8035142599</v>
      </c>
      <c r="AA49" s="85">
        <f>-Z49*'Tables 26a,b-MasterInputs'!$J56</f>
        <v>-501946.62052713893</v>
      </c>
      <c r="AB49" s="299">
        <f t="shared" ref="AB49:AB68" si="70">Z49+AA49</f>
        <v>2844364.1829871209</v>
      </c>
      <c r="AC49" s="107">
        <f>IFERROR(AB49/'Table 12-IUL Census'!$G12,0)</f>
        <v>33.489899955106686</v>
      </c>
      <c r="AD49" s="88">
        <f>'Table 12-IUL Census'!$F12</f>
        <v>14988</v>
      </c>
      <c r="AE49" s="89">
        <f>'Tables 26a,b-MasterInputs'!$H56</f>
        <v>20</v>
      </c>
      <c r="AF49" s="175">
        <f t="shared" ref="AF49:AF68" si="71">AD49*AE49</f>
        <v>299760</v>
      </c>
      <c r="AG49" s="303">
        <f t="shared" ref="AG49:AG68" ca="1" si="72">OFFSET(AJ49,0,AG$16)+OFFSET(AZ49,0,AG$16)-OFFSET(T49,0,AG$16)</f>
        <v>0</v>
      </c>
      <c r="AH49" s="137">
        <v>1</v>
      </c>
      <c r="AI49" s="85">
        <f>'Table 12-IUL Census'!$G11*'Tables 26a,b-MasterInputs'!$C31</f>
        <v>3500000</v>
      </c>
      <c r="AJ49" s="174">
        <f>MAX(('Table 7-10-OptionBudget'!$D$45/100)*(AR48+AI49+AK49+AL49+AM49),0)</f>
        <v>89631.556486278423</v>
      </c>
      <c r="AK49" s="300">
        <f>-'Tables 26a,b-MasterInputs'!$E56*('Table 12-IUL Census'!$G11*1000/(1+('Tables 26a,b-MasterInputs'!E31))-(AR48+AI49+AL49+AM49))</f>
        <v>-150641.56097560978</v>
      </c>
      <c r="AL49" s="300">
        <f>-'Tables 26a,b-MasterInputs'!$G56*'Table 12-IUL Census'!$D11</f>
        <v>-20000</v>
      </c>
      <c r="AM49" s="300">
        <f>-'Tables 26a,b-MasterInputs'!$F56*AI49</f>
        <v>-70000</v>
      </c>
      <c r="AN49" s="85">
        <f t="shared" ref="AN49:AN68" si="73">MAX((AI49+AM49)+AJ49+AK49+AL49+AR48,0)</f>
        <v>3348989.9955106685</v>
      </c>
      <c r="AO49" s="85">
        <f>-AN49*'Tables 26a,b-MasterInputs'!$I56</f>
        <v>-2679.191996408535</v>
      </c>
      <c r="AP49" s="85">
        <f t="shared" ref="AP49:AP68" si="74">AN49+AO49</f>
        <v>3346310.8035142599</v>
      </c>
      <c r="AQ49" s="85">
        <f>-AP49*'Tables 26a,b-MasterInputs'!$J56</f>
        <v>-501946.62052713893</v>
      </c>
      <c r="AR49" s="299">
        <f t="shared" ref="AR49:AR68" si="75">AP49+AQ49</f>
        <v>2844364.1829871209</v>
      </c>
      <c r="AS49" s="107">
        <f>IFERROR(AR49/'Table 12-IUL Census'!$G12,0)</f>
        <v>33.489899955106686</v>
      </c>
      <c r="AT49" s="88">
        <f>'Table 12-IUL Census'!$F12</f>
        <v>14988</v>
      </c>
      <c r="AU49" s="89">
        <f>'Tables 26a,b-MasterInputs'!$H56</f>
        <v>20</v>
      </c>
      <c r="AV49" s="175">
        <f t="shared" ref="AV49:AV68" si="76">AT49*AU49</f>
        <v>299760</v>
      </c>
      <c r="AW49" s="120"/>
      <c r="AX49" s="137">
        <v>1</v>
      </c>
      <c r="AY49" s="85">
        <v>0</v>
      </c>
      <c r="AZ49" s="174">
        <f>MAX(('Table 7-10-OptionBudget'!$D$45/100)*(BH48+AY49+BA49+BB49+BC49),0)</f>
        <v>0</v>
      </c>
      <c r="BA49" s="85">
        <v>0</v>
      </c>
      <c r="BB49" s="85">
        <v>0</v>
      </c>
      <c r="BC49" s="85">
        <v>0</v>
      </c>
      <c r="BD49" s="85">
        <v>0</v>
      </c>
      <c r="BE49" s="85">
        <v>0</v>
      </c>
      <c r="BF49" s="85">
        <v>0</v>
      </c>
      <c r="BG49" s="85">
        <v>0</v>
      </c>
      <c r="BH49" s="299">
        <v>0</v>
      </c>
      <c r="BI49" s="107">
        <f>IFERROR(BH49/'Table 12-IUL Census'!$G12,0)</f>
        <v>0</v>
      </c>
      <c r="BJ49" s="88">
        <v>0</v>
      </c>
      <c r="BK49" s="89">
        <v>0</v>
      </c>
      <c r="BL49" s="175">
        <f t="shared" ref="BL49:BL68" si="77">BJ49*BK49</f>
        <v>0</v>
      </c>
      <c r="BO49" s="137">
        <v>1</v>
      </c>
      <c r="BP49" s="85">
        <f>'Table 12-IUL Census'!$G11*'Tables 26a,b-MasterInputs'!$C31</f>
        <v>3500000</v>
      </c>
      <c r="BQ49" s="174">
        <f>MAX(('Table 7-10-OptionBudget'!$D$45/100)*(BY48+BP49+BR49+BS49+BT49),0)</f>
        <v>89631.556486278423</v>
      </c>
      <c r="BR49" s="174">
        <f>-'Tables 26a,b-MasterInputs'!$E56*('Table 12-IUL Census'!$G11*1000/(1+('Tables 26a,b-MasterInputs'!E31))-(BY48+BP49+BS49+BT49))</f>
        <v>-150641.56097560978</v>
      </c>
      <c r="BS49" s="174">
        <f>-'Tables 26a,b-MasterInputs'!$G56*'Table 12-IUL Census'!$D11</f>
        <v>-20000</v>
      </c>
      <c r="BT49" s="174">
        <f>-'Tables 26a,b-MasterInputs'!$F56*BP49</f>
        <v>-70000</v>
      </c>
      <c r="BU49" s="85">
        <f t="shared" ref="BU49:BU68" si="78">(BP49+BT49)+BQ49+BR49+BS49+BY48</f>
        <v>3348989.9955106685</v>
      </c>
      <c r="BV49" s="85">
        <f>-BU49*'Tables 26a,b-MasterInputs'!$I56</f>
        <v>-2679.191996408535</v>
      </c>
      <c r="BW49" s="85">
        <f t="shared" ref="BW49:BW68" si="79">BU49+BV49</f>
        <v>3346310.8035142599</v>
      </c>
      <c r="BX49" s="85">
        <f>-BW49*'Tables 26a,b-MasterInputs'!$J56</f>
        <v>-501946.62052713893</v>
      </c>
      <c r="BY49" s="299">
        <f t="shared" ref="BY49:BY68" si="80">BW49+BX49</f>
        <v>2844364.1829871209</v>
      </c>
      <c r="BZ49" s="107">
        <f>IFERROR(BY49/'Table 12-IUL Census'!$G12,0)</f>
        <v>33.489899955106686</v>
      </c>
      <c r="CA49" s="88">
        <f>'Table 12-IUL Census'!$F12</f>
        <v>14988</v>
      </c>
      <c r="CB49" s="89">
        <f>'Tables 26a,b-MasterInputs'!$H56</f>
        <v>20</v>
      </c>
      <c r="CC49" s="175">
        <f t="shared" ref="CC49:CC68" si="81">CA49*CB49</f>
        <v>299760</v>
      </c>
      <c r="CD49" s="303">
        <f t="shared" ref="CD49:CD68" ca="1" si="82">OFFSET(CG49,0,CD$16)+OFFSET(CW49,0,CD$16)+OFFSET(DM49,0,CD$16)-OFFSET(BQ49,0,CD$16)</f>
        <v>0</v>
      </c>
      <c r="CE49" s="137">
        <v>1</v>
      </c>
      <c r="CF49" s="85">
        <f>'Table 12-IUL Census'!$G11*'Tables 26a,b-MasterInputs'!$C31</f>
        <v>3500000</v>
      </c>
      <c r="CG49" s="174">
        <f>MAX(('Table 7-10-OptionBudget'!$D$45/100)*(CO48+CF49+CH49+CI49+CJ49),0)</f>
        <v>89631.556486278423</v>
      </c>
      <c r="CH49" s="300">
        <f>-'Tables 26a,b-MasterInputs'!$E56*('Table 12-IUL Census'!$G11*1000/(1+('Tables 26a,b-MasterInputs'!E31))-(CO48+CF49+CI49+CJ49))</f>
        <v>-150641.56097560978</v>
      </c>
      <c r="CI49" s="300">
        <f>-'Tables 26a,b-MasterInputs'!$G56*'Table 12-IUL Census'!$D11</f>
        <v>-20000</v>
      </c>
      <c r="CJ49" s="300">
        <f>-'Tables 26a,b-MasterInputs'!$F56*CF49</f>
        <v>-70000</v>
      </c>
      <c r="CK49" s="85">
        <f t="shared" ref="CK49:CK68" si="83">MAX((CF49+CJ49)+CG49+CH49+CI49+CO48,0)</f>
        <v>3348989.9955106685</v>
      </c>
      <c r="CL49" s="85">
        <f>-CK49*'Tables 26a,b-MasterInputs'!$I56</f>
        <v>-2679.191996408535</v>
      </c>
      <c r="CM49" s="85">
        <f t="shared" ref="CM49:CM68" si="84">CK49+CL49</f>
        <v>3346310.8035142599</v>
      </c>
      <c r="CN49" s="85">
        <f>-CM49*'Tables 26a,b-MasterInputs'!$J56</f>
        <v>-501946.62052713893</v>
      </c>
      <c r="CO49" s="299">
        <f t="shared" ref="CO49:CO68" si="85">CM49+CN49</f>
        <v>2844364.1829871209</v>
      </c>
      <c r="CP49" s="107">
        <f>IFERROR(CO49/'Table 12-IUL Census'!$G12,0)</f>
        <v>33.489899955106686</v>
      </c>
      <c r="CQ49" s="88">
        <f>'Table 12-IUL Census'!$F12</f>
        <v>14988</v>
      </c>
      <c r="CR49" s="89">
        <f>'Tables 26a,b-MasterInputs'!$H56</f>
        <v>20</v>
      </c>
      <c r="CS49" s="175">
        <f t="shared" ref="CS49:CS68" si="86">CQ49*CR49</f>
        <v>299760</v>
      </c>
      <c r="CU49" s="137">
        <v>1</v>
      </c>
      <c r="CV49" s="85">
        <v>0</v>
      </c>
      <c r="CW49" s="174">
        <f>MAX(('Table 7-10-OptionBudget'!$D$45/100)*(DE48+CV49+CX49+CY49+CZ49),0)</f>
        <v>0</v>
      </c>
      <c r="CX49" s="85">
        <v>0</v>
      </c>
      <c r="CY49" s="85">
        <v>0</v>
      </c>
      <c r="CZ49" s="85">
        <v>0</v>
      </c>
      <c r="DA49" s="85">
        <v>0</v>
      </c>
      <c r="DB49" s="85">
        <v>0</v>
      </c>
      <c r="DC49" s="85">
        <v>0</v>
      </c>
      <c r="DD49" s="85">
        <v>0</v>
      </c>
      <c r="DE49" s="299">
        <v>0</v>
      </c>
      <c r="DF49" s="107">
        <f>IFERROR(DE49/'Table 12-IUL Census'!$G12,0)</f>
        <v>0</v>
      </c>
      <c r="DG49" s="88">
        <v>0</v>
      </c>
      <c r="DH49" s="89">
        <v>0</v>
      </c>
      <c r="DI49" s="175">
        <f t="shared" ref="DI49:DI68" si="87">DG49*DH49</f>
        <v>0</v>
      </c>
      <c r="DK49" s="137">
        <v>1</v>
      </c>
      <c r="DL49" s="85">
        <v>0</v>
      </c>
      <c r="DM49" s="174">
        <f>MAX(('Table 7-10-OptionBudget'!$D$45/100)*(DU48+DL49+DN49+DO49+DP49),0)</f>
        <v>0</v>
      </c>
      <c r="DN49" s="85">
        <v>0</v>
      </c>
      <c r="DO49" s="85">
        <v>0</v>
      </c>
      <c r="DP49" s="85">
        <v>0</v>
      </c>
      <c r="DQ49" s="85">
        <v>0</v>
      </c>
      <c r="DR49" s="85">
        <v>0</v>
      </c>
      <c r="DS49" s="85">
        <v>0</v>
      </c>
      <c r="DT49" s="85">
        <v>0</v>
      </c>
      <c r="DU49" s="299">
        <v>0</v>
      </c>
      <c r="DV49" s="107">
        <f>IFERROR(DU49/'Table 12-IUL Census'!$G12,0)</f>
        <v>0</v>
      </c>
      <c r="DW49" s="88">
        <v>0</v>
      </c>
      <c r="DX49" s="89">
        <v>0</v>
      </c>
      <c r="DY49" s="175">
        <f t="shared" ref="DY49:DY68" si="88">DW49*DX49</f>
        <v>0</v>
      </c>
    </row>
    <row r="50" spans="1:147" x14ac:dyDescent="0.25">
      <c r="A50" s="137">
        <v>2</v>
      </c>
      <c r="B50" s="85">
        <v>0</v>
      </c>
      <c r="C50" s="174">
        <f>MAX(('Table 7-10-OptionBudget'!$D$45/100)*(K49+B50+D50+E50+F50),0)</f>
        <v>72910.234643370946</v>
      </c>
      <c r="D50" s="174">
        <f>MAX(-'Tables 26a,b-MasterInputs'!$E57*('Table 12-IUL Census'!$G12*1000/(1+('Tables 26a,b-MasterInputs'!E32))-(K49+B50+E50+F50)),-K49-E50)*IF(G49=0,0,1)</f>
        <v>-176072.84204816006</v>
      </c>
      <c r="E50" s="174">
        <f>-'Tables 26a,b-MasterInputs'!$G57*'Table 12-IUL Census'!$D12*IF(G49=0,0,1)</f>
        <v>-16986.400000000001</v>
      </c>
      <c r="F50" s="174">
        <f>-'Tables 26a,b-MasterInputs'!$F57*B50</f>
        <v>0</v>
      </c>
      <c r="G50" s="85">
        <f t="shared" si="64"/>
        <v>2724215.1755823316</v>
      </c>
      <c r="H50" s="85">
        <f>-G50*'Tables 26a,b-MasterInputs'!$I57</f>
        <v>-2996.6366931405651</v>
      </c>
      <c r="I50" s="85">
        <f t="shared" si="65"/>
        <v>2721218.5388891911</v>
      </c>
      <c r="J50" s="85">
        <f>-I50*'Tables 26a,b-MasterInputs'!$J57</f>
        <v>-326546.22466670291</v>
      </c>
      <c r="K50" s="299">
        <f t="shared" si="66"/>
        <v>2394672.3142224881</v>
      </c>
      <c r="L50" s="107">
        <f>IFERROR(K50/'Table 12-IUL Census'!$G13,0)</f>
        <v>32.075250501369702</v>
      </c>
      <c r="M50" s="88">
        <f>'Table 12-IUL Census'!$F13</f>
        <v>10180.628976</v>
      </c>
      <c r="N50" s="89">
        <f>'Tables 26a,b-MasterInputs'!$H57</f>
        <v>18</v>
      </c>
      <c r="O50" s="175">
        <f t="shared" si="67"/>
        <v>183251.32156800001</v>
      </c>
      <c r="R50" s="137">
        <v>2</v>
      </c>
      <c r="S50" s="85">
        <f>'Table 12-IUL Census'!$G12*'Tables 26a,b-MasterInputs'!$C32</f>
        <v>2972620</v>
      </c>
      <c r="T50" s="174">
        <f>MAX(('Table 7-10-OptionBudget'!$D$45/100)*(AB49+S50+U50+V50+W50),0)</f>
        <v>153197.87315592769</v>
      </c>
      <c r="U50" s="174">
        <f>MAX(-'Tables 26a,b-MasterInputs'!$E57*('Table 12-IUL Census'!$G12*1000/(1+('Tables 26a,b-MasterInputs'!E32))-(AB49+S50+V50+W50)),-AB49-V50)*IF(AB49&lt;=0,0,1)</f>
        <v>-169663.87332816006</v>
      </c>
      <c r="V50" s="174">
        <f>-'Tables 26a,b-MasterInputs'!$G57*'Table 12-IUL Census'!$D12</f>
        <v>-16986.400000000001</v>
      </c>
      <c r="W50" s="174">
        <f>-'Tables 26a,b-MasterInputs'!$F57*S50</f>
        <v>-59452.4</v>
      </c>
      <c r="X50" s="85">
        <f t="shared" si="68"/>
        <v>5724079.3828148888</v>
      </c>
      <c r="Y50" s="85">
        <f>-X50*'Tables 26a,b-MasterInputs'!$I57</f>
        <v>-6296.4873210963779</v>
      </c>
      <c r="Z50" s="85">
        <f t="shared" si="69"/>
        <v>5717782.8954937924</v>
      </c>
      <c r="AA50" s="85">
        <f>-Z50*'Tables 26a,b-MasterInputs'!$J57</f>
        <v>-686133.94745925511</v>
      </c>
      <c r="AB50" s="299">
        <f t="shared" si="70"/>
        <v>5031648.948034537</v>
      </c>
      <c r="AC50" s="107">
        <f>IFERROR(AB50/'Table 12-IUL Census'!$G13,0)</f>
        <v>67.396027207823778</v>
      </c>
      <c r="AD50" s="88">
        <f>'Table 12-IUL Census'!$F13</f>
        <v>10180.628976</v>
      </c>
      <c r="AE50" s="89">
        <f>'Tables 26a,b-MasterInputs'!$H57</f>
        <v>18</v>
      </c>
      <c r="AF50" s="175">
        <f t="shared" si="71"/>
        <v>183251.32156800001</v>
      </c>
      <c r="AG50" s="303">
        <f t="shared" ca="1" si="72"/>
        <v>0</v>
      </c>
      <c r="AH50" s="137">
        <v>2</v>
      </c>
      <c r="AI50" s="85">
        <v>0</v>
      </c>
      <c r="AJ50" s="174">
        <f>MAX(('Table 7-10-OptionBudget'!$D$45/100)*(AR49+AI50+AK50+AL50+AM50),0)</f>
        <v>75709.483736892114</v>
      </c>
      <c r="AK50" s="300">
        <f>U50*(AR49/($AR49+$AY50))</f>
        <v>-82961.51910691052</v>
      </c>
      <c r="AL50" s="300">
        <f>V50*(AR49/($AR49+$AY50))</f>
        <v>-8305.9376195658824</v>
      </c>
      <c r="AM50" s="300">
        <f>-'Tables 26a,b-MasterInputs'!$F57*AI50</f>
        <v>0</v>
      </c>
      <c r="AN50" s="85">
        <f t="shared" si="73"/>
        <v>2828806.2099975366</v>
      </c>
      <c r="AO50" s="85">
        <f>-AN50*'Tables 26a,b-MasterInputs'!$I57</f>
        <v>-3111.6868309972906</v>
      </c>
      <c r="AP50" s="85">
        <f t="shared" si="74"/>
        <v>2825694.5231665391</v>
      </c>
      <c r="AQ50" s="85">
        <f>-AP50*'Tables 26a,b-MasterInputs'!$J57</f>
        <v>-339083.3427799847</v>
      </c>
      <c r="AR50" s="299">
        <f t="shared" si="75"/>
        <v>2486611.1803865544</v>
      </c>
      <c r="AS50" s="107">
        <f>IFERROR(AR50/'Table 12-IUL Census'!$G13,0)</f>
        <v>33.306718433541384</v>
      </c>
      <c r="AT50" s="88">
        <f>'Table 12-IUL Census'!$F13*(AR49/($AR49+$AY50))</f>
        <v>4978.0806529106148</v>
      </c>
      <c r="AU50" s="89">
        <f>'Tables 26a,b-MasterInputs'!$H57</f>
        <v>18</v>
      </c>
      <c r="AV50" s="175">
        <f t="shared" si="76"/>
        <v>89605.451752391062</v>
      </c>
      <c r="AW50" s="120"/>
      <c r="AX50" s="137">
        <v>2</v>
      </c>
      <c r="AY50" s="85">
        <f>'Table 12-IUL Census'!$G12*'Tables 26a,b-MasterInputs'!$C32</f>
        <v>2972620</v>
      </c>
      <c r="AZ50" s="174">
        <f>MAX(('Table 7-10-OptionBudget'!$D$45/100)*(BH49+AY50+BA50+BB50+BC50),0)</f>
        <v>77488.389419035622</v>
      </c>
      <c r="BA50" s="300">
        <f>U50*(AY50/($AR49+$AY50))</f>
        <v>-86702.354221249523</v>
      </c>
      <c r="BB50" s="300">
        <f>V50*(AY50/($AR49+$AY50))</f>
        <v>-8680.462380434119</v>
      </c>
      <c r="BC50" s="300">
        <f>-'Tables 26a,b-MasterInputs'!$F57*AY50</f>
        <v>-59452.4</v>
      </c>
      <c r="BD50" s="85">
        <f t="shared" ref="BD50:BD68" si="89">MAX((AY50+BC50)+AZ50+BA50+BB50+BH49,0)</f>
        <v>2895273.1728173522</v>
      </c>
      <c r="BE50" s="85">
        <f>-BD50*'Tables 26a,b-MasterInputs'!$I57</f>
        <v>-3184.8004900990877</v>
      </c>
      <c r="BF50" s="85">
        <f t="shared" ref="BF50:BF68" si="90">BD50+BE50</f>
        <v>2892088.3723272532</v>
      </c>
      <c r="BG50" s="85">
        <f>-BF50*'Tables 26a,b-MasterInputs'!$J57</f>
        <v>-347050.60467927036</v>
      </c>
      <c r="BH50" s="299">
        <f t="shared" ref="BH50:BH68" si="91">BF50+BG50</f>
        <v>2545037.767647983</v>
      </c>
      <c r="BI50" s="107">
        <f>IFERROR(BH50/'Table 12-IUL Census'!$G13,0)</f>
        <v>34.089308774282401</v>
      </c>
      <c r="BJ50" s="88">
        <f>'Table 12-IUL Census'!$F13*(AY50/($AR49+$AY50))</f>
        <v>5202.5483230893842</v>
      </c>
      <c r="BK50" s="89">
        <f>'Tables 26a,b-MasterInputs'!$H57</f>
        <v>18</v>
      </c>
      <c r="BL50" s="175">
        <f t="shared" si="77"/>
        <v>93645.869815608923</v>
      </c>
      <c r="BO50" s="137">
        <v>2</v>
      </c>
      <c r="BP50" s="85">
        <f>'Table 12-IUL Census'!$G12*'Tables 26a,b-MasterInputs'!$C32</f>
        <v>2972620</v>
      </c>
      <c r="BQ50" s="174">
        <f>MAX(('Table 7-10-OptionBudget'!$D$45/100)*(BY49+BP50+BR50+BS50+BT50),0)</f>
        <v>153197.87315592769</v>
      </c>
      <c r="BR50" s="174">
        <f>MAX(-'Tables 26a,b-MasterInputs'!$E57*('Table 12-IUL Census'!$G12*1000/(1+('Tables 26a,b-MasterInputs'!E32))-(BY49+BP50+BS50+BT50)),-BY49-BS50)*IF(BU49=0,0,1)</f>
        <v>-169663.87332816006</v>
      </c>
      <c r="BS50" s="174">
        <f>-'Tables 26a,b-MasterInputs'!$G57*'Table 12-IUL Census'!$D12</f>
        <v>-16986.400000000001</v>
      </c>
      <c r="BT50" s="174">
        <f>-'Tables 26a,b-MasterInputs'!$F57*BP50</f>
        <v>-59452.4</v>
      </c>
      <c r="BU50" s="85">
        <f t="shared" si="78"/>
        <v>5724079.3828148888</v>
      </c>
      <c r="BV50" s="85">
        <f>-BU50*'Tables 26a,b-MasterInputs'!$I57</f>
        <v>-6296.4873210963779</v>
      </c>
      <c r="BW50" s="85">
        <f t="shared" si="79"/>
        <v>5717782.8954937924</v>
      </c>
      <c r="BX50" s="85">
        <f>-BW50*'Tables 26a,b-MasterInputs'!$J57</f>
        <v>-686133.94745925511</v>
      </c>
      <c r="BY50" s="299">
        <f t="shared" si="80"/>
        <v>5031648.948034537</v>
      </c>
      <c r="BZ50" s="107">
        <f>IFERROR(BY50/'Table 12-IUL Census'!$G13,0)</f>
        <v>67.396027207823778</v>
      </c>
      <c r="CA50" s="88">
        <f>'Table 12-IUL Census'!$F13</f>
        <v>10180.628976</v>
      </c>
      <c r="CB50" s="89">
        <f>'Tables 26a,b-MasterInputs'!$H57</f>
        <v>18</v>
      </c>
      <c r="CC50" s="175">
        <f t="shared" si="81"/>
        <v>183251.32156800001</v>
      </c>
      <c r="CD50" s="303">
        <f t="shared" ca="1" si="82"/>
        <v>0</v>
      </c>
      <c r="CE50" s="137">
        <v>2</v>
      </c>
      <c r="CF50" s="85">
        <v>0</v>
      </c>
      <c r="CG50" s="174">
        <f>MAX(('Table 7-10-OptionBudget'!$D$45/100)*(CO49+CF50+CH50+CI50+CJ50),0)</f>
        <v>75709.483736892114</v>
      </c>
      <c r="CH50" s="300">
        <f>BR50*(CO49/(CO49+CV50+DL50))</f>
        <v>-82961.51910691052</v>
      </c>
      <c r="CI50" s="300">
        <f>BS50*(CO49/(CO49+CV50+DL50))</f>
        <v>-8305.9376195658824</v>
      </c>
      <c r="CJ50" s="300">
        <f>-'Tables 26a,b-MasterInputs'!$F57*CF50</f>
        <v>0</v>
      </c>
      <c r="CK50" s="85">
        <f t="shared" si="83"/>
        <v>2828806.2099975366</v>
      </c>
      <c r="CL50" s="85">
        <f>-CK50*'Tables 26a,b-MasterInputs'!$I57</f>
        <v>-3111.6868309972906</v>
      </c>
      <c r="CM50" s="85">
        <f t="shared" si="84"/>
        <v>2825694.5231665391</v>
      </c>
      <c r="CN50" s="85">
        <f>-CM50*'Tables 26a,b-MasterInputs'!$J57</f>
        <v>-339083.3427799847</v>
      </c>
      <c r="CO50" s="299">
        <f t="shared" si="85"/>
        <v>2486611.1803865544</v>
      </c>
      <c r="CP50" s="107">
        <f>IFERROR(CO50/'Table 12-IUL Census'!$G13,0)</f>
        <v>33.306718433541384</v>
      </c>
      <c r="CQ50" s="88">
        <f>'Table 12-IUL Census'!$F13*(CO49/(CO49+CV50+DL50))</f>
        <v>4978.0806529106148</v>
      </c>
      <c r="CR50" s="89">
        <f>'Tables 26a,b-MasterInputs'!$H57</f>
        <v>18</v>
      </c>
      <c r="CS50" s="175">
        <f t="shared" si="86"/>
        <v>89605.451752391062</v>
      </c>
      <c r="CU50" s="137">
        <v>2</v>
      </c>
      <c r="CV50" s="85">
        <f>'Table 12-IUL Census'!$G12*'Tables 26a,b-MasterInputs'!$C32</f>
        <v>2972620</v>
      </c>
      <c r="CW50" s="174">
        <f>MAX(('Table 7-10-OptionBudget'!$D$45/100)*(DE49+CV50+CX50+CY50+CZ50),0)</f>
        <v>77488.389419035622</v>
      </c>
      <c r="CX50" s="300">
        <f>BR50*(CV50/(CO49+CV50+DL50))</f>
        <v>-86702.354221249523</v>
      </c>
      <c r="CY50" s="300">
        <f>BS50*(CV50/(CO49+CV50+DL50))</f>
        <v>-8680.462380434119</v>
      </c>
      <c r="CZ50" s="300">
        <f>-'Tables 26a,b-MasterInputs'!$F57*CV50</f>
        <v>-59452.4</v>
      </c>
      <c r="DA50" s="85">
        <f t="shared" ref="DA50:DA68" si="92">MAX((CV50+CZ50)+CW50+CX50+CY50+DE49,0)</f>
        <v>2895273.1728173522</v>
      </c>
      <c r="DB50" s="85">
        <f>-DA50*'Tables 26a,b-MasterInputs'!$I57</f>
        <v>-3184.8004900990877</v>
      </c>
      <c r="DC50" s="85">
        <f t="shared" ref="DC50:DC68" si="93">DA50+DB50</f>
        <v>2892088.3723272532</v>
      </c>
      <c r="DD50" s="85">
        <f>-DC50*'Tables 26a,b-MasterInputs'!$J57</f>
        <v>-347050.60467927036</v>
      </c>
      <c r="DE50" s="299">
        <f t="shared" ref="DE50:DE68" si="94">DC50+DD50</f>
        <v>2545037.767647983</v>
      </c>
      <c r="DF50" s="107">
        <f>IFERROR(DE50/'Table 12-IUL Census'!$G13,0)</f>
        <v>34.089308774282401</v>
      </c>
      <c r="DG50" s="88">
        <f>'Table 12-IUL Census'!$F13*(CV50/(CO49+CV50+DL50))</f>
        <v>5202.5483230893842</v>
      </c>
      <c r="DH50" s="89">
        <f>'Tables 26a,b-MasterInputs'!$H57</f>
        <v>18</v>
      </c>
      <c r="DI50" s="175">
        <f t="shared" si="87"/>
        <v>93645.869815608923</v>
      </c>
      <c r="DK50" s="137">
        <v>2</v>
      </c>
      <c r="DL50" s="85">
        <v>0</v>
      </c>
      <c r="DM50" s="174">
        <f>MAX(('Table 7-10-OptionBudget'!$D$45/100)*(DU49+DL50+DN50+DO50+DP50),0)</f>
        <v>0</v>
      </c>
      <c r="DN50" s="300">
        <f>BR50*($DL50/($BY49+$BP50))</f>
        <v>0</v>
      </c>
      <c r="DO50" s="300">
        <f>BS50-CI50-CY50</f>
        <v>0</v>
      </c>
      <c r="DP50" s="300">
        <f>-'Tables 26a,b-MasterInputs'!$F57*DL50</f>
        <v>0</v>
      </c>
      <c r="DQ50" s="85">
        <f t="shared" ref="DQ50:DQ68" si="95">MAX((DL50+DP50)+DM50+DN50+DO50+DU49,0)</f>
        <v>0</v>
      </c>
      <c r="DR50" s="85">
        <f>-DQ50*'Tables 26a,b-MasterInputs'!$I57</f>
        <v>0</v>
      </c>
      <c r="DS50" s="85">
        <f t="shared" ref="DS50:DS68" si="96">DQ50+DR50</f>
        <v>0</v>
      </c>
      <c r="DT50" s="85">
        <f>-DS50*'Tables 26a,b-MasterInputs'!$J57</f>
        <v>0</v>
      </c>
      <c r="DU50" s="299">
        <f t="shared" ref="DU50:DU68" si="97">DS50+DT50</f>
        <v>0</v>
      </c>
      <c r="DV50" s="107">
        <f>IFERROR(DU50/'Table 12-IUL Census'!$G13,0)</f>
        <v>0</v>
      </c>
      <c r="DW50" s="88">
        <v>0</v>
      </c>
      <c r="DX50" s="89">
        <v>0</v>
      </c>
      <c r="DY50" s="175">
        <f t="shared" si="88"/>
        <v>0</v>
      </c>
    </row>
    <row r="51" spans="1:147" x14ac:dyDescent="0.25">
      <c r="A51" s="137">
        <v>3</v>
      </c>
      <c r="B51" s="85">
        <v>0</v>
      </c>
      <c r="C51" s="174">
        <f>MAX(('Table 7-10-OptionBudget'!$D$45/100)*(K50+B51+D51+E51+F51),0)</f>
        <v>59900.869866131849</v>
      </c>
      <c r="D51" s="174">
        <f>MAX(-'Tables 26a,b-MasterInputs'!$E58*('Table 12-IUL Census'!$G13*1000/(1+('Tables 26a,b-MasterInputs'!E33))-(K50+B51+E51+F51)),-K50-E51)*IF(G50=0,0,1)</f>
        <v>-201507.81963037406</v>
      </c>
      <c r="E51" s="174">
        <f>-'Tables 26a,b-MasterInputs'!$G58*'Table 12-IUL Census'!$D13*IF(G50=0,0,1)</f>
        <v>-14931.5891648</v>
      </c>
      <c r="F51" s="174">
        <f>-'Tables 26a,b-MasterInputs'!$F58*B51</f>
        <v>0</v>
      </c>
      <c r="G51" s="85">
        <f t="shared" si="64"/>
        <v>2238133.7752934457</v>
      </c>
      <c r="H51" s="85">
        <f>-G51*'Tables 26a,b-MasterInputs'!$I58</f>
        <v>-3200.5312986696276</v>
      </c>
      <c r="I51" s="85">
        <f t="shared" si="65"/>
        <v>2234933.2439947762</v>
      </c>
      <c r="J51" s="85">
        <f>-I51*'Tables 26a,b-MasterInputs'!$J58</f>
        <v>-223493.32439947763</v>
      </c>
      <c r="K51" s="299">
        <f t="shared" si="66"/>
        <v>2011439.9195952986</v>
      </c>
      <c r="L51" s="107">
        <f>IFERROR(K51/'Table 12-IUL Census'!$G14,0)</f>
        <v>29.978507318827969</v>
      </c>
      <c r="M51" s="88">
        <f>'Table 12-IUL Census'!$F14</f>
        <v>7455.1184961471681</v>
      </c>
      <c r="N51" s="89">
        <f>'Tables 26a,b-MasterInputs'!$H58</f>
        <v>16</v>
      </c>
      <c r="O51" s="175">
        <f t="shared" si="67"/>
        <v>119281.89593835469</v>
      </c>
      <c r="R51" s="137">
        <v>3</v>
      </c>
      <c r="S51" s="85">
        <v>0</v>
      </c>
      <c r="T51" s="174">
        <f>MAX(('Table 7-10-OptionBudget'!$D$45/100)*(AB50+S51+U51+V51+W51),0)</f>
        <v>132624.47594272386</v>
      </c>
      <c r="U51" s="174">
        <f>MAX(-'Tables 26a,b-MasterInputs'!$E58*('Table 12-IUL Census'!$G13*1000/(1+('Tables 26a,b-MasterInputs'!E33))-(AB50+S51+V51+W51)),-AB50-V51)*IF(AB50&lt;=0,0,1)</f>
        <v>-193966.06645767164</v>
      </c>
      <c r="V51" s="174">
        <f>-'Tables 26a,b-MasterInputs'!$G58*'Table 12-IUL Census'!$D13</f>
        <v>-14931.5891648</v>
      </c>
      <c r="W51" s="174">
        <f>-'Tables 26a,b-MasterInputs'!$F58*S51</f>
        <v>0</v>
      </c>
      <c r="X51" s="85">
        <f t="shared" si="68"/>
        <v>4955375.7683547894</v>
      </c>
      <c r="Y51" s="85">
        <f>-X51*'Tables 26a,b-MasterInputs'!$I58</f>
        <v>-7086.1873487473495</v>
      </c>
      <c r="Z51" s="85">
        <f t="shared" si="69"/>
        <v>4948289.5810060417</v>
      </c>
      <c r="AA51" s="85">
        <f>-Z51*'Tables 26a,b-MasterInputs'!$J58</f>
        <v>-494828.95810060418</v>
      </c>
      <c r="AB51" s="299">
        <f t="shared" si="70"/>
        <v>4453460.6229054378</v>
      </c>
      <c r="AC51" s="107">
        <f>IFERROR(AB51/'Table 12-IUL Census'!$G14,0)</f>
        <v>66.374392084623963</v>
      </c>
      <c r="AD51" s="88">
        <f>'Table 12-IUL Census'!$F14</f>
        <v>7455.1184961471681</v>
      </c>
      <c r="AE51" s="89">
        <f>'Tables 26a,b-MasterInputs'!$H58</f>
        <v>16</v>
      </c>
      <c r="AF51" s="175">
        <f t="shared" si="71"/>
        <v>119281.89593835469</v>
      </c>
      <c r="AG51" s="303">
        <f t="shared" ca="1" si="72"/>
        <v>0</v>
      </c>
      <c r="AH51" s="137">
        <v>3</v>
      </c>
      <c r="AI51" s="85">
        <v>0</v>
      </c>
      <c r="AJ51" s="174">
        <f>MAX(('Table 7-10-OptionBudget'!$D$45/100)*(AR50+AI51+AK51+AL51+AM51),0)</f>
        <v>65542.232393002225</v>
      </c>
      <c r="AK51" s="300">
        <f t="shared" ref="AK51:AK68" si="98">$U51*(AR50/($AR50+$BH50))</f>
        <v>-95856.883985845387</v>
      </c>
      <c r="AL51" s="300">
        <f t="shared" ref="AL51:AL68" si="99">V51*(AR50/($AR50+$BH50))</f>
        <v>-7379.1031412542725</v>
      </c>
      <c r="AM51" s="300">
        <f>-'Tables 26a,b-MasterInputs'!$F58*AI51</f>
        <v>0</v>
      </c>
      <c r="AN51" s="85">
        <f t="shared" si="73"/>
        <v>2448917.4256524569</v>
      </c>
      <c r="AO51" s="85">
        <f>-AN51*'Tables 26a,b-MasterInputs'!$I58</f>
        <v>-3501.9519186830134</v>
      </c>
      <c r="AP51" s="85">
        <f t="shared" si="74"/>
        <v>2445415.4737337739</v>
      </c>
      <c r="AQ51" s="85">
        <f>-AP51*'Tables 26a,b-MasterInputs'!$J58</f>
        <v>-244541.5473733774</v>
      </c>
      <c r="AR51" s="299">
        <f t="shared" si="75"/>
        <v>2200873.9263603967</v>
      </c>
      <c r="AS51" s="107">
        <f>IFERROR(AR51/'Table 12-IUL Census'!$G14,0)</f>
        <v>32.801832392034733</v>
      </c>
      <c r="AT51" s="88">
        <f>'Table 12-IUL Census'!$F14*(AR50/($AR50+$BH50))</f>
        <v>3684.2755118811392</v>
      </c>
      <c r="AU51" s="89">
        <f>'Tables 26a,b-MasterInputs'!$H58</f>
        <v>16</v>
      </c>
      <c r="AV51" s="175">
        <f t="shared" si="76"/>
        <v>58948.408190098227</v>
      </c>
      <c r="AW51" s="120"/>
      <c r="AX51" s="137">
        <v>3</v>
      </c>
      <c r="AY51" s="85">
        <v>0</v>
      </c>
      <c r="AZ51" s="174">
        <f>MAX(('Table 7-10-OptionBudget'!$D$45/100)*(BH50+AY51+BA51+BB51+BC51),0)</f>
        <v>67082.243549721665</v>
      </c>
      <c r="BA51" s="300">
        <f t="shared" ref="BA51:BA68" si="100">$U51*(BH50/($AR50+$BH50))</f>
        <v>-98109.182471826236</v>
      </c>
      <c r="BB51" s="300">
        <f t="shared" ref="BB51:BB68" si="101">V51*(BH50/($AR50+$BH50))</f>
        <v>-7552.4860235457263</v>
      </c>
      <c r="BC51" s="300">
        <f>-'Tables 26a,b-MasterInputs'!$F58*AY51</f>
        <v>0</v>
      </c>
      <c r="BD51" s="85">
        <f t="shared" si="89"/>
        <v>2506458.3427023329</v>
      </c>
      <c r="BE51" s="85">
        <f>-BD51*'Tables 26a,b-MasterInputs'!$I58</f>
        <v>-3584.235430064336</v>
      </c>
      <c r="BF51" s="85">
        <f t="shared" si="90"/>
        <v>2502874.1072722687</v>
      </c>
      <c r="BG51" s="85">
        <f>-BF51*'Tables 26a,b-MasterInputs'!$J58</f>
        <v>-250287.41072722687</v>
      </c>
      <c r="BH51" s="299">
        <f t="shared" si="91"/>
        <v>2252586.6965450421</v>
      </c>
      <c r="BI51" s="107">
        <f>IFERROR(BH51/'Table 12-IUL Census'!$G14,0)</f>
        <v>33.572559692589238</v>
      </c>
      <c r="BJ51" s="88">
        <f>'Table 12-IUL Census'!$F14*(BH50/($AR50+$BH50))</f>
        <v>3770.8429842660285</v>
      </c>
      <c r="BK51" s="89">
        <f>'Tables 26a,b-MasterInputs'!$H58</f>
        <v>16</v>
      </c>
      <c r="BL51" s="175">
        <f t="shared" si="77"/>
        <v>60333.487748256455</v>
      </c>
      <c r="BO51" s="137">
        <v>3</v>
      </c>
      <c r="BP51" s="85">
        <f>'Table 12-IUL Census'!$G13*'Tables 26a,b-MasterInputs'!$C33</f>
        <v>2613028.10384</v>
      </c>
      <c r="BQ51" s="174">
        <f>MAX(('Table 7-10-OptionBudget'!$D$45/100)*(BY50+BP51+BR51+BS51+BT51),0)</f>
        <v>203246.35691544067</v>
      </c>
      <c r="BR51" s="174">
        <f>MAX(-'Tables 26a,b-MasterInputs'!$E58*('Table 12-IUL Census'!$G13*1000/(1+('Tables 26a,b-MasterInputs'!E33))-(BY50+BP51+BS51+BT51)),-BY50-BS51)*IF(BU50=0,0,1)</f>
        <v>-186642.27128822886</v>
      </c>
      <c r="BS51" s="174">
        <f>-'Tables 26a,b-MasterInputs'!$G58*'Table 12-IUL Census'!$D13</f>
        <v>-14931.5891648</v>
      </c>
      <c r="BT51" s="174">
        <f>-'Tables 26a,b-MasterInputs'!$F58*BP51</f>
        <v>-52260.562076800001</v>
      </c>
      <c r="BU51" s="85">
        <f t="shared" si="78"/>
        <v>7594088.9862601496</v>
      </c>
      <c r="BV51" s="85">
        <f>-BU51*'Tables 26a,b-MasterInputs'!$I58</f>
        <v>-10859.547250352014</v>
      </c>
      <c r="BW51" s="85">
        <f t="shared" si="79"/>
        <v>7583229.4390097978</v>
      </c>
      <c r="BX51" s="85">
        <f>-BW51*'Tables 26a,b-MasterInputs'!$J58</f>
        <v>-758322.94390097982</v>
      </c>
      <c r="BY51" s="299">
        <f t="shared" si="80"/>
        <v>6824906.4951088177</v>
      </c>
      <c r="BZ51" s="107">
        <f>IFERROR(BY51/'Table 12-IUL Census'!$G14,0)</f>
        <v>101.71842933051754</v>
      </c>
      <c r="CA51" s="88">
        <f>'Table 12-IUL Census'!$F14</f>
        <v>7455.1184961471681</v>
      </c>
      <c r="CB51" s="89">
        <f>'Tables 26a,b-MasterInputs'!$H58</f>
        <v>16</v>
      </c>
      <c r="CC51" s="175">
        <f t="shared" si="81"/>
        <v>119281.89593835469</v>
      </c>
      <c r="CD51" s="303">
        <f t="shared" ca="1" si="82"/>
        <v>0</v>
      </c>
      <c r="CE51" s="137">
        <v>3</v>
      </c>
      <c r="CF51" s="85">
        <v>0</v>
      </c>
      <c r="CG51" s="174">
        <f>MAX(('Table 7-10-OptionBudget'!$D$45/100)*(CO50+CF51+CH51+CI51+CJ51),0)</f>
        <v>66578.130089618862</v>
      </c>
      <c r="CH51" s="300">
        <f>$BR51*(CO50/(CO50+DE50+DL51))</f>
        <v>-60709.792626785653</v>
      </c>
      <c r="CI51" s="300">
        <f>BS51*(CO50/(CO50+DE50+DL51))</f>
        <v>-4856.8508919583546</v>
      </c>
      <c r="CJ51" s="300">
        <f>-'Tables 26a,b-MasterInputs'!$F58*CF51</f>
        <v>0</v>
      </c>
      <c r="CK51" s="85">
        <f t="shared" si="83"/>
        <v>2487622.6669574291</v>
      </c>
      <c r="CL51" s="85">
        <f>-CK51*'Tables 26a,b-MasterInputs'!$I58</f>
        <v>-3557.3004137491239</v>
      </c>
      <c r="CM51" s="85">
        <f t="shared" si="84"/>
        <v>2484065.36654368</v>
      </c>
      <c r="CN51" s="85">
        <f>-CM51*'Tables 26a,b-MasterInputs'!$J58</f>
        <v>-248406.53665436801</v>
      </c>
      <c r="CO51" s="299">
        <f t="shared" si="85"/>
        <v>2235658.8298893119</v>
      </c>
      <c r="CP51" s="107">
        <f>IFERROR(CO51/'Table 12-IUL Census'!$G14,0)</f>
        <v>33.320266711085196</v>
      </c>
      <c r="CQ51" s="88">
        <f>'Table 12-IUL Census'!$F14*(CO50/(CO50+DE50+DL51))</f>
        <v>2424.9527975914275</v>
      </c>
      <c r="CR51" s="89">
        <f>'Tables 26a,b-MasterInputs'!$H58</f>
        <v>16</v>
      </c>
      <c r="CS51" s="175">
        <f t="shared" si="86"/>
        <v>38799.24476146284</v>
      </c>
      <c r="CU51" s="137">
        <v>3</v>
      </c>
      <c r="CV51" s="85">
        <v>0</v>
      </c>
      <c r="CW51" s="174">
        <f>MAX(('Table 7-10-OptionBudget'!$D$45/100)*(DE50+CV51+CX51+CY51+CZ51),0)</f>
        <v>68142.481186431338</v>
      </c>
      <c r="CX51" s="300">
        <f>$BR51*(DE50/(CO50+DE50+DL51))</f>
        <v>-62136.258503119694</v>
      </c>
      <c r="CY51" s="300">
        <f>BS51*(DE50/(CO50+DE50+DL51))</f>
        <v>-4970.969747649593</v>
      </c>
      <c r="CZ51" s="300">
        <f>-'Tables 26a,b-MasterInputs'!$F58*CV51</f>
        <v>0</v>
      </c>
      <c r="DA51" s="85">
        <f t="shared" si="92"/>
        <v>2546073.020583645</v>
      </c>
      <c r="DB51" s="85">
        <f>-DA51*'Tables 26a,b-MasterInputs'!$I58</f>
        <v>-3640.8844194346125</v>
      </c>
      <c r="DC51" s="85">
        <f t="shared" si="93"/>
        <v>2542432.1361642103</v>
      </c>
      <c r="DD51" s="85">
        <f>-DC51*'Tables 26a,b-MasterInputs'!$J58</f>
        <v>-254243.21361642104</v>
      </c>
      <c r="DE51" s="299">
        <f t="shared" si="94"/>
        <v>2288188.9225477893</v>
      </c>
      <c r="DF51" s="107">
        <f>IFERROR(DE51/'Table 12-IUL Census'!$G14,0)</f>
        <v>34.103175388535391</v>
      </c>
      <c r="DG51" s="88">
        <f>'Table 12-IUL Census'!$F14*(DE50/(CO50+DE50+DL51))</f>
        <v>2481.9306304552269</v>
      </c>
      <c r="DH51" s="89">
        <f>'Tables 26a,b-MasterInputs'!$H58</f>
        <v>16</v>
      </c>
      <c r="DI51" s="175">
        <f t="shared" si="87"/>
        <v>39710.890087283631</v>
      </c>
      <c r="DK51" s="137">
        <v>3</v>
      </c>
      <c r="DL51" s="85">
        <f>'Table 12-IUL Census'!$G13*'Tables 26a,b-MasterInputs'!$C33</f>
        <v>2613028.10384</v>
      </c>
      <c r="DM51" s="174">
        <f>MAX(('Table 7-10-OptionBudget'!$D$45/100)*(DU50+DL51+DN51+DO51+DP51),0)</f>
        <v>68525.745639390458</v>
      </c>
      <c r="DN51" s="300">
        <f>BR51*(DL51/(CO50+DE50+DL51))</f>
        <v>-63796.220158323507</v>
      </c>
      <c r="DO51" s="300">
        <f>BS51*(DL51/(CO50+DE50+DL51))</f>
        <v>-5103.7685251920511</v>
      </c>
      <c r="DP51" s="300">
        <f>-'Tables 26a,b-MasterInputs'!$F58*DL51</f>
        <v>-52260.562076800001</v>
      </c>
      <c r="DQ51" s="85">
        <f t="shared" si="95"/>
        <v>2560393.2987190746</v>
      </c>
      <c r="DR51" s="85">
        <f>-DQ51*'Tables 26a,b-MasterInputs'!$I58</f>
        <v>-3661.3624171682768</v>
      </c>
      <c r="DS51" s="85">
        <f t="shared" si="96"/>
        <v>2556731.9363019061</v>
      </c>
      <c r="DT51" s="85">
        <f>-DS51*'Tables 26a,b-MasterInputs'!$J58</f>
        <v>-255673.19363019062</v>
      </c>
      <c r="DU51" s="299">
        <f t="shared" si="97"/>
        <v>2301058.7426717156</v>
      </c>
      <c r="DV51" s="107">
        <f>IFERROR(DU51/'Table 12-IUL Census'!$G14,0)</f>
        <v>34.294987230896929</v>
      </c>
      <c r="DW51" s="88">
        <f>'Table 12-IUL Census'!$F14*(DL51/(CO50+DE50+DL51))</f>
        <v>2548.2350681005137</v>
      </c>
      <c r="DX51" s="89">
        <f>'Tables 26a,b-MasterInputs'!$H58</f>
        <v>16</v>
      </c>
      <c r="DY51" s="175">
        <f t="shared" si="88"/>
        <v>40771.761089608219</v>
      </c>
      <c r="EJ51" s="88"/>
      <c r="EK51" s="88"/>
      <c r="EL51" s="88"/>
      <c r="EM51" s="88"/>
      <c r="EN51" s="88"/>
      <c r="EO51" s="85"/>
      <c r="EP51" s="85"/>
      <c r="EQ51" s="85"/>
    </row>
    <row r="52" spans="1:147" x14ac:dyDescent="0.25">
      <c r="A52" s="137">
        <v>4</v>
      </c>
      <c r="B52" s="85">
        <v>0</v>
      </c>
      <c r="C52" s="174">
        <f>MAX(('Table 7-10-OptionBudget'!$D$45/100)*(K51+B52+D52+E52+F52),0)</f>
        <v>48976.572592628589</v>
      </c>
      <c r="D52" s="174">
        <f>MAX(-'Tables 26a,b-MasterInputs'!$E59*('Table 12-IUL Census'!$G14*1000/(1+('Tables 26a,b-MasterInputs'!E34))-(K51+B52+E52+F52)),-K51-E52)*IF(G51=0,0,1)</f>
        <v>-217038.52265899253</v>
      </c>
      <c r="E52" s="174">
        <f>-'Tables 26a,b-MasterInputs'!$G59*'Table 12-IUL Census'!$D14*IF(G51=0,0,1)</f>
        <v>-13419.213293064902</v>
      </c>
      <c r="F52" s="174">
        <f>-'Tables 26a,b-MasterInputs'!$F59*B52</f>
        <v>0</v>
      </c>
      <c r="G52" s="85">
        <f t="shared" si="64"/>
        <v>1829958.7562358698</v>
      </c>
      <c r="H52" s="85">
        <f>-G52*'Tables 26a,b-MasterInputs'!$I59</f>
        <v>-3129.2294731633374</v>
      </c>
      <c r="I52" s="85">
        <f t="shared" si="65"/>
        <v>1826829.5267627065</v>
      </c>
      <c r="J52" s="85">
        <f>-I52*'Tables 26a,b-MasterInputs'!$J59</f>
        <v>-164414.65740864357</v>
      </c>
      <c r="K52" s="299">
        <f t="shared" si="66"/>
        <v>1662414.8693540629</v>
      </c>
      <c r="L52" s="107">
        <f>IFERROR(K52/'Table 12-IUL Census'!$G15,0)</f>
        <v>27.273711450455881</v>
      </c>
      <c r="M52" s="88">
        <f>'Table 12-IUL Census'!$F15</f>
        <v>6028.3198972501932</v>
      </c>
      <c r="N52" s="89">
        <f>'Tables 26a,b-MasterInputs'!$H59</f>
        <v>14</v>
      </c>
      <c r="O52" s="175">
        <f t="shared" si="67"/>
        <v>84396.478561502707</v>
      </c>
      <c r="R52" s="137">
        <v>4</v>
      </c>
      <c r="S52" s="85">
        <v>0</v>
      </c>
      <c r="T52" s="174">
        <f>MAX(('Table 7-10-OptionBudget'!$D$45/100)*(AB51+S52+U52+V52+W52),0)</f>
        <v>116361.2121028352</v>
      </c>
      <c r="U52" s="174">
        <f>MAX(-'Tables 26a,b-MasterInputs'!$E59*('Table 12-IUL Census'!$G14*1000/(1+('Tables 26a,b-MasterInputs'!E34))-(AB51+S52+V52+W52)),-AB51-V52)*IF(AB51&lt;=0,0,1)</f>
        <v>-208686.81185367185</v>
      </c>
      <c r="V52" s="174">
        <f>-'Tables 26a,b-MasterInputs'!$G59*'Table 12-IUL Census'!$D14</f>
        <v>-13419.213293064902</v>
      </c>
      <c r="W52" s="174">
        <f>-'Tables 26a,b-MasterInputs'!$F59*S52</f>
        <v>0</v>
      </c>
      <c r="X52" s="85">
        <f t="shared" si="68"/>
        <v>4347715.8098615361</v>
      </c>
      <c r="Y52" s="85">
        <f>-X52*'Tables 26a,b-MasterInputs'!$I59</f>
        <v>-7434.5940348632266</v>
      </c>
      <c r="Z52" s="85">
        <f t="shared" si="69"/>
        <v>4340281.2158266725</v>
      </c>
      <c r="AA52" s="85">
        <f>-Z52*'Tables 26a,b-MasterInputs'!$J59</f>
        <v>-390625.3094244005</v>
      </c>
      <c r="AB52" s="299">
        <f t="shared" si="70"/>
        <v>3949655.9064022722</v>
      </c>
      <c r="AC52" s="107">
        <f>IFERROR(AB52/'Table 12-IUL Census'!$G15,0)</f>
        <v>64.79837103578123</v>
      </c>
      <c r="AD52" s="88">
        <f>'Table 12-IUL Census'!$F15</f>
        <v>6028.3198972501932</v>
      </c>
      <c r="AE52" s="89">
        <f>'Tables 26a,b-MasterInputs'!$H59</f>
        <v>14</v>
      </c>
      <c r="AF52" s="175">
        <f t="shared" si="71"/>
        <v>84396.478561502707</v>
      </c>
      <c r="AG52" s="303">
        <f t="shared" ca="1" si="72"/>
        <v>0</v>
      </c>
      <c r="AH52" s="137">
        <v>4</v>
      </c>
      <c r="AI52" s="85">
        <v>0</v>
      </c>
      <c r="AJ52" s="174">
        <f>MAX(('Table 7-10-OptionBudget'!$D$45/100)*(AR51+AI52+AK52+AL52+AM52),0)</f>
        <v>57505.023495580957</v>
      </c>
      <c r="AK52" s="300">
        <f t="shared" si="98"/>
        <v>-103131.78938233903</v>
      </c>
      <c r="AL52" s="300">
        <f t="shared" si="99"/>
        <v>-6631.6959213860509</v>
      </c>
      <c r="AM52" s="300">
        <f>-'Tables 26a,b-MasterInputs'!$F59*AI52</f>
        <v>0</v>
      </c>
      <c r="AN52" s="85">
        <f t="shared" si="73"/>
        <v>2148615.4645522526</v>
      </c>
      <c r="AO52" s="85">
        <f>-AN52*'Tables 26a,b-MasterInputs'!$I59</f>
        <v>-3674.1324443843519</v>
      </c>
      <c r="AP52" s="85">
        <f t="shared" si="74"/>
        <v>2144941.332107868</v>
      </c>
      <c r="AQ52" s="85">
        <f>-AP52*'Tables 26a,b-MasterInputs'!$J59</f>
        <v>-193044.71988970813</v>
      </c>
      <c r="AR52" s="299">
        <f t="shared" si="75"/>
        <v>1951896.6122181599</v>
      </c>
      <c r="AS52" s="107">
        <f>IFERROR(AR52/'Table 12-IUL Census'!$G15,0)</f>
        <v>32.022972101690414</v>
      </c>
      <c r="AT52" s="88">
        <f>'Table 12-IUL Census'!$F15*(AR51/($AR51+$BH51))</f>
        <v>2979.1600746122167</v>
      </c>
      <c r="AU52" s="89">
        <f>'Tables 26a,b-MasterInputs'!$H59</f>
        <v>14</v>
      </c>
      <c r="AV52" s="175">
        <f t="shared" si="76"/>
        <v>41708.241044571034</v>
      </c>
      <c r="AW52" s="120"/>
      <c r="AX52" s="137">
        <v>4</v>
      </c>
      <c r="AY52" s="85">
        <v>0</v>
      </c>
      <c r="AZ52" s="174">
        <f>MAX(('Table 7-10-OptionBudget'!$D$45/100)*(BH51+AY52+BA52+BB52+BC52),0)</f>
        <v>58856.188607254269</v>
      </c>
      <c r="BA52" s="300">
        <f t="shared" si="100"/>
        <v>-105555.02247133281</v>
      </c>
      <c r="BB52" s="300">
        <f t="shared" si="101"/>
        <v>-6787.5173716788504</v>
      </c>
      <c r="BC52" s="300">
        <f>-'Tables 26a,b-MasterInputs'!$F59*AY52</f>
        <v>0</v>
      </c>
      <c r="BD52" s="85">
        <f t="shared" si="89"/>
        <v>2199100.3453092845</v>
      </c>
      <c r="BE52" s="85">
        <f>-BD52*'Tables 26a,b-MasterInputs'!$I59</f>
        <v>-3760.4615904788766</v>
      </c>
      <c r="BF52" s="85">
        <f t="shared" si="90"/>
        <v>2195339.8837188059</v>
      </c>
      <c r="BG52" s="85">
        <f>-BF52*'Tables 26a,b-MasterInputs'!$J59</f>
        <v>-197580.58953469252</v>
      </c>
      <c r="BH52" s="299">
        <f t="shared" si="91"/>
        <v>1997759.2941841134</v>
      </c>
      <c r="BI52" s="107">
        <f>IFERROR(BH52/'Table 12-IUL Census'!$G15,0)</f>
        <v>32.775398934090838</v>
      </c>
      <c r="BJ52" s="88">
        <f>'Table 12-IUL Census'!$F15*(BH51/($AR51+$BH51))</f>
        <v>3049.1598226379765</v>
      </c>
      <c r="BK52" s="89">
        <f>'Tables 26a,b-MasterInputs'!$H59</f>
        <v>14</v>
      </c>
      <c r="BL52" s="175">
        <f t="shared" si="77"/>
        <v>42688.237516931673</v>
      </c>
      <c r="BO52" s="137">
        <v>4</v>
      </c>
      <c r="BP52" s="85">
        <v>0</v>
      </c>
      <c r="BQ52" s="174">
        <f>MAX(('Table 7-10-OptionBudget'!$D$45/100)*(BY51+BP52+BR52+BS52+BT52),0)</f>
        <v>181798.4235891203</v>
      </c>
      <c r="BR52" s="174">
        <f>MAX(-'Tables 26a,b-MasterInputs'!$E59*('Table 12-IUL Census'!$G14*1000/(1+('Tables 26a,b-MasterInputs'!E34))-(BY51+BP52+BS52+BT52)),-BY51-BS52)*IF(BU51=0,0,1)</f>
        <v>-200576.46697073631</v>
      </c>
      <c r="BS52" s="174">
        <f>-'Tables 26a,b-MasterInputs'!$G59*'Table 12-IUL Census'!$D14</f>
        <v>-13419.213293064902</v>
      </c>
      <c r="BT52" s="174">
        <f>-'Tables 26a,b-MasterInputs'!$F59*BP52</f>
        <v>0</v>
      </c>
      <c r="BU52" s="85">
        <f t="shared" si="78"/>
        <v>6792709.2384341368</v>
      </c>
      <c r="BV52" s="85">
        <f>-BU52*'Tables 26a,b-MasterInputs'!$I59</f>
        <v>-11615.532797722373</v>
      </c>
      <c r="BW52" s="85">
        <f t="shared" si="79"/>
        <v>6781093.7056364147</v>
      </c>
      <c r="BX52" s="85">
        <f>-BW52*'Tables 26a,b-MasterInputs'!$J59</f>
        <v>-610298.43350727728</v>
      </c>
      <c r="BY52" s="299">
        <f t="shared" si="80"/>
        <v>6170795.2721291371</v>
      </c>
      <c r="BZ52" s="107">
        <f>IFERROR(BY52/'Table 12-IUL Census'!$G15,0)</f>
        <v>101.23856130887545</v>
      </c>
      <c r="CA52" s="88">
        <f>'Table 12-IUL Census'!$F15</f>
        <v>6028.3198972501932</v>
      </c>
      <c r="CB52" s="89">
        <f>'Tables 26a,b-MasterInputs'!$H59</f>
        <v>14</v>
      </c>
      <c r="CC52" s="175">
        <f t="shared" si="81"/>
        <v>84396.478561502707</v>
      </c>
      <c r="CD52" s="303">
        <f t="shared" ca="1" si="82"/>
        <v>0</v>
      </c>
      <c r="CE52" s="137">
        <v>4</v>
      </c>
      <c r="CF52" s="85">
        <v>0</v>
      </c>
      <c r="CG52" s="174">
        <f>MAX(('Table 7-10-OptionBudget'!$D$45/100)*(CO51+CF52+CH52+CI52+CJ52),0)</f>
        <v>59552.354489875521</v>
      </c>
      <c r="CH52" s="300">
        <f t="shared" ref="CH52:CH68" si="102">$BR52*(CO51/(CO51+DE51+DU51))</f>
        <v>-65703.544769806977</v>
      </c>
      <c r="CI52" s="300">
        <f t="shared" ref="CI52:CI68" si="103">BS52*(CO51/(CO51+DE51+DU51))</f>
        <v>-4395.7792989997943</v>
      </c>
      <c r="CJ52" s="300">
        <f>-'Tables 26a,b-MasterInputs'!$F59*CF52</f>
        <v>0</v>
      </c>
      <c r="CK52" s="85">
        <f t="shared" si="83"/>
        <v>2225111.8603103808</v>
      </c>
      <c r="CL52" s="85">
        <f>-CK52*'Tables 26a,b-MasterInputs'!$I59</f>
        <v>-3804.9412811307511</v>
      </c>
      <c r="CM52" s="85">
        <f t="shared" si="84"/>
        <v>2221306.9190292503</v>
      </c>
      <c r="CN52" s="85">
        <f>-CM52*'Tables 26a,b-MasterInputs'!$J59</f>
        <v>-199917.62271263252</v>
      </c>
      <c r="CO52" s="299">
        <f t="shared" si="85"/>
        <v>2021389.2963166176</v>
      </c>
      <c r="CP52" s="107">
        <f>IFERROR(CO52/'Table 12-IUL Census'!$G15,0)</f>
        <v>33.16307464104959</v>
      </c>
      <c r="CQ52" s="88">
        <f>'Table 12-IUL Census'!$F15*(CO51/(CO51+DE51+DU51))</f>
        <v>1974.7181323793275</v>
      </c>
      <c r="CR52" s="89">
        <f>'Tables 26a,b-MasterInputs'!$H59</f>
        <v>14</v>
      </c>
      <c r="CS52" s="175">
        <f t="shared" si="86"/>
        <v>27646.053853310586</v>
      </c>
      <c r="CU52" s="137">
        <v>4</v>
      </c>
      <c r="CV52" s="85">
        <v>0</v>
      </c>
      <c r="CW52" s="174">
        <f>MAX(('Table 7-10-OptionBudget'!$D$45/100)*(DE51+CV52+CX52+CY52+CZ52),0)</f>
        <v>60951.62465469692</v>
      </c>
      <c r="CX52" s="300">
        <f t="shared" ref="CX52:CX68" si="104">BR52*(DE51/(CO51+DE51+DU51))</f>
        <v>-67247.346198095227</v>
      </c>
      <c r="CY52" s="300">
        <f t="shared" ref="CY52:CY68" si="105">BS52*(DE51/(CO51+DE51+DU51))</f>
        <v>-4499.0645994202114</v>
      </c>
      <c r="CZ52" s="300">
        <f>-'Tables 26a,b-MasterInputs'!$F59*CV52</f>
        <v>0</v>
      </c>
      <c r="DA52" s="85">
        <f t="shared" si="92"/>
        <v>2277394.1364049707</v>
      </c>
      <c r="DB52" s="85">
        <f>-DA52*'Tables 26a,b-MasterInputs'!$I59</f>
        <v>-3894.3439732524998</v>
      </c>
      <c r="DC52" s="85">
        <f t="shared" si="93"/>
        <v>2273499.7924317182</v>
      </c>
      <c r="DD52" s="85">
        <f>-DC52*'Tables 26a,b-MasterInputs'!$J59</f>
        <v>-204614.98131885464</v>
      </c>
      <c r="DE52" s="299">
        <f t="shared" si="94"/>
        <v>2068884.8111128635</v>
      </c>
      <c r="DF52" s="107">
        <f>IFERROR(DE52/'Table 12-IUL Census'!$G15,0)</f>
        <v>33.942289859599093</v>
      </c>
      <c r="DG52" s="88">
        <f>'Table 12-IUL Census'!$F15*(DE51/(CO51+DE51+DU51))</f>
        <v>2021.1170395298416</v>
      </c>
      <c r="DH52" s="89">
        <f>'Tables 26a,b-MasterInputs'!$H59</f>
        <v>14</v>
      </c>
      <c r="DI52" s="175">
        <f t="shared" si="87"/>
        <v>28295.638553417783</v>
      </c>
      <c r="DK52" s="137">
        <v>4</v>
      </c>
      <c r="DL52" s="85">
        <v>0</v>
      </c>
      <c r="DM52" s="174">
        <f>MAX(('Table 7-10-OptionBudget'!$D$45/100)*(DU51+DL52+DN52+DO52+DP52),0)</f>
        <v>61294.444444547837</v>
      </c>
      <c r="DN52" s="300">
        <f t="shared" ref="DN52:DN68" si="106">BR52*(DU51/(CO51+DE51+DU51))</f>
        <v>-67625.576002834103</v>
      </c>
      <c r="DO52" s="300">
        <f t="shared" ref="DO52:DO68" si="107">BS52*(DU51/(CO51+DE51+DU51))</f>
        <v>-4524.3693946448957</v>
      </c>
      <c r="DP52" s="300">
        <f>-'Tables 26a,b-MasterInputs'!$F59*DL52</f>
        <v>0</v>
      </c>
      <c r="DQ52" s="85">
        <f t="shared" si="95"/>
        <v>2290203.2417187844</v>
      </c>
      <c r="DR52" s="85">
        <f>-DQ52*'Tables 26a,b-MasterInputs'!$I59</f>
        <v>-3916.2475433391214</v>
      </c>
      <c r="DS52" s="85">
        <f t="shared" si="96"/>
        <v>2286286.9941754453</v>
      </c>
      <c r="DT52" s="85">
        <f>-DS52*'Tables 26a,b-MasterInputs'!$J59</f>
        <v>-205765.82947579006</v>
      </c>
      <c r="DU52" s="299">
        <f t="shared" si="97"/>
        <v>2080521.1646996553</v>
      </c>
      <c r="DV52" s="107">
        <f>IFERROR(DU52/'Table 12-IUL Census'!$G15,0)</f>
        <v>34.133196808226757</v>
      </c>
      <c r="DW52" s="88">
        <f>'Table 12-IUL Census'!$F15*(DU51/(CO51+DE51+DU51))</f>
        <v>2032.4847253410242</v>
      </c>
      <c r="DX52" s="89">
        <f>'Tables 26a,b-MasterInputs'!$H59</f>
        <v>14</v>
      </c>
      <c r="DY52" s="175">
        <f t="shared" si="88"/>
        <v>28454.786154774338</v>
      </c>
      <c r="EJ52" s="88"/>
      <c r="EK52" s="88"/>
      <c r="EL52" s="88"/>
      <c r="EM52" s="88"/>
      <c r="EN52" s="88"/>
      <c r="EO52" s="85"/>
      <c r="EP52" s="85"/>
      <c r="EQ52" s="85"/>
    </row>
    <row r="53" spans="1:147" x14ac:dyDescent="0.25">
      <c r="A53" s="137">
        <v>5</v>
      </c>
      <c r="B53" s="85">
        <v>0</v>
      </c>
      <c r="C53" s="174">
        <f>MAX(('Table 7-10-OptionBudget'!$D$45/100)*(K52+B53+D53+E53+F53),0)</f>
        <v>39211.836115759048</v>
      </c>
      <c r="D53" s="174">
        <f>MAX(-'Tables 26a,b-MasterInputs'!$E60*('Table 12-IUL Census'!$G15*1000/(1+('Tables 26a,b-MasterInputs'!E35))-(K52+B53+E53+F53)),-K52-E53)*IF(G52=0,0,1)</f>
        <v>-224326.58126136792</v>
      </c>
      <c r="E53" s="174">
        <f>-'Tables 26a,b-MasterInputs'!$G60*'Table 12-IUL Census'!$D15*IF(G52=0,0,1)</f>
        <v>-12190.602458883723</v>
      </c>
      <c r="F53" s="174">
        <f>-'Tables 26a,b-MasterInputs'!$F60*B53</f>
        <v>0</v>
      </c>
      <c r="G53" s="85">
        <f t="shared" si="64"/>
        <v>1465109.5217495703</v>
      </c>
      <c r="H53" s="85">
        <f>-G53*'Tables 26a,b-MasterInputs'!$I60</f>
        <v>-2842.3124721941663</v>
      </c>
      <c r="I53" s="85">
        <f t="shared" si="65"/>
        <v>1462267.2092773761</v>
      </c>
      <c r="J53" s="85">
        <f>-I53*'Tables 26a,b-MasterInputs'!$J60</f>
        <v>-116981.37674219008</v>
      </c>
      <c r="K53" s="299">
        <f t="shared" si="66"/>
        <v>1345285.8325351861</v>
      </c>
      <c r="L53" s="107">
        <f>IFERROR(K53/'Table 12-IUL Census'!$G16,0)</f>
        <v>24.036704120096925</v>
      </c>
      <c r="M53" s="88">
        <f>'Table 12-IUL Census'!$F16</f>
        <v>4866.7810760453949</v>
      </c>
      <c r="N53" s="89">
        <f>'Tables 26a,b-MasterInputs'!$H60</f>
        <v>12</v>
      </c>
      <c r="O53" s="175">
        <f t="shared" si="67"/>
        <v>58401.372912544743</v>
      </c>
      <c r="R53" s="137">
        <v>5</v>
      </c>
      <c r="S53" s="85">
        <v>0</v>
      </c>
      <c r="T53" s="174">
        <f>MAX(('Table 7-10-OptionBudget'!$D$45/100)*(AB52+S53+U53+V53+W53),0)</f>
        <v>102354.44926494606</v>
      </c>
      <c r="U53" s="174">
        <f>MAX(-'Tables 26a,b-MasterInputs'!$E60*('Table 12-IUL Census'!$G15*1000/(1+('Tables 26a,b-MasterInputs'!E35))-(AB52+S53+V53+W53)),-AB52-V53)*IF(AB52&lt;=0,0,1)</f>
        <v>-215452.08603762087</v>
      </c>
      <c r="V53" s="174">
        <f>-'Tables 26a,b-MasterInputs'!$G60*'Table 12-IUL Census'!$D15</f>
        <v>-12190.602458883723</v>
      </c>
      <c r="W53" s="174">
        <f>-'Tables 26a,b-MasterInputs'!$F60*S53</f>
        <v>0</v>
      </c>
      <c r="X53" s="85">
        <f t="shared" si="68"/>
        <v>3824367.6671707137</v>
      </c>
      <c r="Y53" s="85">
        <f>-X53*'Tables 26a,b-MasterInputs'!$I60</f>
        <v>-7419.2732743111847</v>
      </c>
      <c r="Z53" s="85">
        <f t="shared" si="69"/>
        <v>3816948.3938964023</v>
      </c>
      <c r="AA53" s="85">
        <f>-Z53*'Tables 26a,b-MasterInputs'!$J60</f>
        <v>-305355.8715117122</v>
      </c>
      <c r="AB53" s="299">
        <f t="shared" si="70"/>
        <v>3511592.5223846901</v>
      </c>
      <c r="AC53" s="107">
        <f>IFERROR(AB53/'Table 12-IUL Census'!$G16,0)</f>
        <v>62.742882151550468</v>
      </c>
      <c r="AD53" s="88">
        <f>'Table 12-IUL Census'!$F16</f>
        <v>4866.7810760453949</v>
      </c>
      <c r="AE53" s="89">
        <f>'Tables 26a,b-MasterInputs'!$H60</f>
        <v>12</v>
      </c>
      <c r="AF53" s="175">
        <f t="shared" si="71"/>
        <v>58401.372912544743</v>
      </c>
      <c r="AG53" s="303">
        <f t="shared" ca="1" si="72"/>
        <v>0</v>
      </c>
      <c r="AH53" s="137">
        <v>5</v>
      </c>
      <c r="AI53" s="85">
        <v>0</v>
      </c>
      <c r="AJ53" s="174">
        <f>MAX(('Table 7-10-OptionBudget'!$D$45/100)*(AR52+AI53+AK53+AL53+AM53),0)</f>
        <v>50582.964060706618</v>
      </c>
      <c r="AK53" s="300">
        <f t="shared" si="98"/>
        <v>-106475.14791110909</v>
      </c>
      <c r="AL53" s="300">
        <f t="shared" si="99"/>
        <v>-6024.5237064380372</v>
      </c>
      <c r="AM53" s="300">
        <f>-'Tables 26a,b-MasterInputs'!$F60*AI53</f>
        <v>0</v>
      </c>
      <c r="AN53" s="85">
        <f t="shared" si="73"/>
        <v>1889979.9046613195</v>
      </c>
      <c r="AO53" s="85">
        <f>-AN53*'Tables 26a,b-MasterInputs'!$I60</f>
        <v>-3666.5610150429598</v>
      </c>
      <c r="AP53" s="85">
        <f t="shared" si="74"/>
        <v>1886313.3436462765</v>
      </c>
      <c r="AQ53" s="85">
        <f>-AP53*'Tables 26a,b-MasterInputs'!$J60</f>
        <v>-150905.06749170212</v>
      </c>
      <c r="AR53" s="299">
        <f t="shared" si="75"/>
        <v>1735408.2761545745</v>
      </c>
      <c r="AS53" s="107">
        <f>IFERROR(AR53/'Table 12-IUL Census'!$G16,0)</f>
        <v>31.007161640055362</v>
      </c>
      <c r="AT53" s="88">
        <f>'Table 12-IUL Census'!$F16*(AR52/($AR52+$BH52))</f>
        <v>2405.1344521790188</v>
      </c>
      <c r="AU53" s="89">
        <f>'Tables 26a,b-MasterInputs'!$H60</f>
        <v>12</v>
      </c>
      <c r="AV53" s="175">
        <f t="shared" si="76"/>
        <v>28861.613426148226</v>
      </c>
      <c r="AW53" s="120"/>
      <c r="AX53" s="137">
        <v>5</v>
      </c>
      <c r="AY53" s="85">
        <v>0</v>
      </c>
      <c r="AZ53" s="174">
        <f>MAX(('Table 7-10-OptionBudget'!$D$45/100)*(BH52+AY53+BA53+BB53+BC53),0)</f>
        <v>51771.48520423947</v>
      </c>
      <c r="BA53" s="300">
        <f t="shared" si="100"/>
        <v>-108976.93812651178</v>
      </c>
      <c r="BB53" s="300">
        <f t="shared" si="101"/>
        <v>-6166.0787524456864</v>
      </c>
      <c r="BC53" s="300">
        <f>-'Tables 26a,b-MasterInputs'!$F60*AY53</f>
        <v>0</v>
      </c>
      <c r="BD53" s="85">
        <f t="shared" si="89"/>
        <v>1934387.7625093954</v>
      </c>
      <c r="BE53" s="85">
        <f>-BD53*'Tables 26a,b-MasterInputs'!$I60</f>
        <v>-3752.7122592682272</v>
      </c>
      <c r="BF53" s="85">
        <f t="shared" si="90"/>
        <v>1930635.0502501272</v>
      </c>
      <c r="BG53" s="85">
        <f>-BF53*'Tables 26a,b-MasterInputs'!$J60</f>
        <v>-154450.80402001017</v>
      </c>
      <c r="BH53" s="299">
        <f t="shared" si="91"/>
        <v>1776184.246230117</v>
      </c>
      <c r="BI53" s="107">
        <f>IFERROR(BH53/'Table 12-IUL Census'!$G16,0)</f>
        <v>31.735720511495128</v>
      </c>
      <c r="BJ53" s="88">
        <f>'Table 12-IUL Census'!$F16*(BH52/($AR52+$BH52))</f>
        <v>2461.6466238663766</v>
      </c>
      <c r="BK53" s="89">
        <f>'Tables 26a,b-MasterInputs'!$H60</f>
        <v>12</v>
      </c>
      <c r="BL53" s="175">
        <f t="shared" si="77"/>
        <v>29539.759486396521</v>
      </c>
      <c r="BO53" s="137">
        <v>5</v>
      </c>
      <c r="BP53" s="85">
        <v>0</v>
      </c>
      <c r="BQ53" s="174">
        <f>MAX(('Table 7-10-OptionBudget'!$D$45/100)*(BY52+BP53+BR53+BS53+BT53),0)</f>
        <v>163672.22970382767</v>
      </c>
      <c r="BR53" s="174">
        <f>MAX(-'Tables 26a,b-MasterInputs'!$E60*('Table 12-IUL Census'!$G15*1000/(1+('Tables 26a,b-MasterInputs'!E35))-(BY52+BP53+BS53+BT53)),-BY52-BS53)*IF(BU52=0,0,1)</f>
        <v>-206834.06529860062</v>
      </c>
      <c r="BS53" s="174">
        <f>-'Tables 26a,b-MasterInputs'!$G60*'Table 12-IUL Census'!$D15</f>
        <v>-12190.602458883723</v>
      </c>
      <c r="BT53" s="174">
        <f>-'Tables 26a,b-MasterInputs'!$F60*BP53</f>
        <v>0</v>
      </c>
      <c r="BU53" s="85">
        <f t="shared" si="78"/>
        <v>6115442.8340754807</v>
      </c>
      <c r="BV53" s="85">
        <f>-BU53*'Tables 26a,b-MasterInputs'!$I60</f>
        <v>-11863.959098106434</v>
      </c>
      <c r="BW53" s="85">
        <f t="shared" si="79"/>
        <v>6103578.8749773744</v>
      </c>
      <c r="BX53" s="85">
        <f>-BW53*'Tables 26a,b-MasterInputs'!$J60</f>
        <v>-488286.30999818997</v>
      </c>
      <c r="BY53" s="299">
        <f t="shared" si="80"/>
        <v>5615292.5649791844</v>
      </c>
      <c r="BZ53" s="107">
        <f>IFERROR(BY53/'Table 12-IUL Census'!$G16,0)</f>
        <v>100.33044477828808</v>
      </c>
      <c r="CA53" s="88">
        <f>'Table 12-IUL Census'!$F16</f>
        <v>4866.7810760453949</v>
      </c>
      <c r="CB53" s="89">
        <f>'Tables 26a,b-MasterInputs'!$H60</f>
        <v>12</v>
      </c>
      <c r="CC53" s="175">
        <f t="shared" si="81"/>
        <v>58401.372912544743</v>
      </c>
      <c r="CD53" s="303">
        <f t="shared" ca="1" si="82"/>
        <v>0</v>
      </c>
      <c r="CE53" s="137">
        <v>5</v>
      </c>
      <c r="CF53" s="85">
        <v>0</v>
      </c>
      <c r="CG53" s="174">
        <f>MAX(('Table 7-10-OptionBudget'!$D$45/100)*(CO52+CF53+CH53+CI53+CJ53),0)</f>
        <v>53614.692861693176</v>
      </c>
      <c r="CH53" s="300">
        <f t="shared" si="102"/>
        <v>-67753.3684509983</v>
      </c>
      <c r="CI53" s="300">
        <f t="shared" si="103"/>
        <v>-3993.3188899226402</v>
      </c>
      <c r="CJ53" s="300">
        <f>-'Tables 26a,b-MasterInputs'!$F60*CF53</f>
        <v>0</v>
      </c>
      <c r="CK53" s="85">
        <f t="shared" si="83"/>
        <v>2003257.3018373898</v>
      </c>
      <c r="CL53" s="85">
        <f>-CK53*'Tables 26a,b-MasterInputs'!$I60</f>
        <v>-3886.3191655645364</v>
      </c>
      <c r="CM53" s="85">
        <f t="shared" si="84"/>
        <v>1999370.9826718252</v>
      </c>
      <c r="CN53" s="85">
        <f>-CM53*'Tables 26a,b-MasterInputs'!$J60</f>
        <v>-159949.67861374601</v>
      </c>
      <c r="CO53" s="299">
        <f t="shared" si="85"/>
        <v>1839421.3040580791</v>
      </c>
      <c r="CP53" s="107">
        <f>IFERROR(CO53/'Table 12-IUL Census'!$G16,0)</f>
        <v>32.865599687857028</v>
      </c>
      <c r="CQ53" s="88">
        <f>'Table 12-IUL Census'!$F16*(CO52/(CO52+DE52+DU52))</f>
        <v>1594.228740510476</v>
      </c>
      <c r="CR53" s="89">
        <f>'Tables 26a,b-MasterInputs'!$H60</f>
        <v>12</v>
      </c>
      <c r="CS53" s="175">
        <f t="shared" si="86"/>
        <v>19130.744886125711</v>
      </c>
      <c r="CU53" s="137">
        <v>5</v>
      </c>
      <c r="CV53" s="85">
        <v>0</v>
      </c>
      <c r="CW53" s="174">
        <f>MAX(('Table 7-10-OptionBudget'!$D$45/100)*(DE52+CV53+CX53+CY53+CZ53),0)</f>
        <v>54874.448932801744</v>
      </c>
      <c r="CX53" s="300">
        <f t="shared" si="104"/>
        <v>-69345.333501779809</v>
      </c>
      <c r="CY53" s="300">
        <f t="shared" si="105"/>
        <v>-4087.1477910492349</v>
      </c>
      <c r="CZ53" s="300">
        <f>-'Tables 26a,b-MasterInputs'!$F60*CV53</f>
        <v>0</v>
      </c>
      <c r="DA53" s="85">
        <f t="shared" si="92"/>
        <v>2050326.7787528362</v>
      </c>
      <c r="DB53" s="85">
        <f>-DA53*'Tables 26a,b-MasterInputs'!$I60</f>
        <v>-3977.6339507805023</v>
      </c>
      <c r="DC53" s="85">
        <f t="shared" si="93"/>
        <v>2046349.1448020556</v>
      </c>
      <c r="DD53" s="85">
        <f>-DC53*'Tables 26a,b-MasterInputs'!$J60</f>
        <v>-163707.93158416444</v>
      </c>
      <c r="DE53" s="299">
        <f t="shared" si="94"/>
        <v>1882641.2132178911</v>
      </c>
      <c r="DF53" s="107">
        <f>IFERROR(DE53/'Table 12-IUL Census'!$G16,0)</f>
        <v>33.637825294822747</v>
      </c>
      <c r="DG53" s="88">
        <f>'Table 12-IUL Census'!$F16*(DE52/(CO52+DE52+DU52))</f>
        <v>1631.6874897338396</v>
      </c>
      <c r="DH53" s="89">
        <f>'Tables 26a,b-MasterInputs'!$H60</f>
        <v>12</v>
      </c>
      <c r="DI53" s="175">
        <f t="shared" si="87"/>
        <v>19580.249876806076</v>
      </c>
      <c r="DK53" s="137">
        <v>5</v>
      </c>
      <c r="DL53" s="85">
        <v>0</v>
      </c>
      <c r="DM53" s="174">
        <f>MAX(('Table 7-10-OptionBudget'!$D$45/100)*(DU52+DL53+DN53+DO53+DP53),0)</f>
        <v>55183.087909332753</v>
      </c>
      <c r="DN53" s="300">
        <f t="shared" si="106"/>
        <v>-69735.363345822523</v>
      </c>
      <c r="DO53" s="300">
        <f t="shared" si="107"/>
        <v>-4110.135777911848</v>
      </c>
      <c r="DP53" s="300">
        <f>-'Tables 26a,b-MasterInputs'!$F60*DL53</f>
        <v>0</v>
      </c>
      <c r="DQ53" s="85">
        <f t="shared" si="95"/>
        <v>2061858.7534852535</v>
      </c>
      <c r="DR53" s="85">
        <f>-DQ53*'Tables 26a,b-MasterInputs'!$I60</f>
        <v>-4000.0059817613919</v>
      </c>
      <c r="DS53" s="85">
        <f t="shared" si="96"/>
        <v>2057858.747503492</v>
      </c>
      <c r="DT53" s="85">
        <f>-DS53*'Tables 26a,b-MasterInputs'!$J60</f>
        <v>-164628.69980027937</v>
      </c>
      <c r="DU53" s="299">
        <f t="shared" si="97"/>
        <v>1893230.0477032126</v>
      </c>
      <c r="DV53" s="107">
        <f>IFERROR(DU53/'Table 12-IUL Census'!$G16,0)</f>
        <v>33.82701979560828</v>
      </c>
      <c r="DW53" s="88">
        <f>'Table 12-IUL Census'!$F16*(DU52/(CO52+DE52+DU52))</f>
        <v>1640.8648458010796</v>
      </c>
      <c r="DX53" s="89">
        <f>'Tables 26a,b-MasterInputs'!$H60</f>
        <v>12</v>
      </c>
      <c r="DY53" s="175">
        <f t="shared" si="88"/>
        <v>19690.378149612956</v>
      </c>
      <c r="EJ53" s="88"/>
      <c r="EK53" s="88"/>
      <c r="EL53" s="88"/>
      <c r="EM53" s="88"/>
      <c r="EN53" s="88"/>
      <c r="EO53" s="85"/>
      <c r="EP53" s="85"/>
      <c r="EQ53" s="85"/>
    </row>
    <row r="54" spans="1:147" x14ac:dyDescent="0.25">
      <c r="A54" s="137">
        <v>6</v>
      </c>
      <c r="B54" s="85">
        <v>0</v>
      </c>
      <c r="C54" s="174">
        <f>MAX(('Table 7-10-OptionBudget'!$D$45/100)*(K53+B54+D54+E54+F54),0)</f>
        <v>30833.55074330464</v>
      </c>
      <c r="D54" s="174">
        <f>MAX(-'Tables 26a,b-MasterInputs'!$E61*('Table 12-IUL Census'!$G16*1000/(1+('Tables 26a,b-MasterInputs'!E36))-(K53+B54+E54+F54)),-K53-E54)*IF(G53=0,0,1)</f>
        <v>-212862.19432088858</v>
      </c>
      <c r="E54" s="174">
        <f>-'Tables 26a,b-MasterInputs'!$G61*'Table 12-IUL Census'!$D16*IF(G53=0,0,1)</f>
        <v>-11193.596474904409</v>
      </c>
      <c r="F54" s="174">
        <f>-'Tables 26a,b-MasterInputs'!$F61*B54</f>
        <v>0</v>
      </c>
      <c r="G54" s="85">
        <f t="shared" si="64"/>
        <v>1152063.5924826977</v>
      </c>
      <c r="H54" s="85">
        <f>-G54*'Tables 26a,b-MasterInputs'!$I61</f>
        <v>-2557.581175311589</v>
      </c>
      <c r="I54" s="85">
        <f t="shared" si="65"/>
        <v>1149506.011307386</v>
      </c>
      <c r="J54" s="85">
        <f>-I54*'Tables 26a,b-MasterInputs'!$J61</f>
        <v>-80465.420791517026</v>
      </c>
      <c r="K54" s="299">
        <f t="shared" si="66"/>
        <v>1069040.590515869</v>
      </c>
      <c r="L54" s="107">
        <f>IFERROR(K54/'Table 12-IUL Census'!$G17,0)</f>
        <v>20.58433310626442</v>
      </c>
      <c r="M54" s="88">
        <f>'Table 12-IUL Census'!$F17</f>
        <v>3909.0613417555433</v>
      </c>
      <c r="N54" s="89">
        <f>'Tables 26a,b-MasterInputs'!$H61</f>
        <v>10</v>
      </c>
      <c r="O54" s="175">
        <f t="shared" si="67"/>
        <v>39090.613417555433</v>
      </c>
      <c r="R54" s="137">
        <v>6</v>
      </c>
      <c r="S54" s="85">
        <v>0</v>
      </c>
      <c r="T54" s="174">
        <f>MAX(('Table 7-10-OptionBudget'!$D$45/100)*(AB53+S54+U54+V54+W54),0)</f>
        <v>90644.505926310056</v>
      </c>
      <c r="U54" s="174">
        <f>MAX(-'Tables 26a,b-MasterInputs'!$E61*('Table 12-IUL Census'!$G16*1000/(1+('Tables 26a,b-MasterInputs'!E36))-(AB53+S54+V54+W54)),-AB53-V54)*IF(AB53&lt;=0,0,1)</f>
        <v>-204205.63278824996</v>
      </c>
      <c r="V54" s="174">
        <f>-'Tables 26a,b-MasterInputs'!$G61*'Table 12-IUL Census'!$D16</f>
        <v>-11193.596474904409</v>
      </c>
      <c r="W54" s="174">
        <f>-'Tables 26a,b-MasterInputs'!$F61*S54</f>
        <v>0</v>
      </c>
      <c r="X54" s="85">
        <f t="shared" si="68"/>
        <v>3386837.7990478459</v>
      </c>
      <c r="Y54" s="85">
        <f>-X54*'Tables 26a,b-MasterInputs'!$I61</f>
        <v>-7518.7799138862183</v>
      </c>
      <c r="Z54" s="85">
        <f t="shared" si="69"/>
        <v>3379319.0191339594</v>
      </c>
      <c r="AA54" s="85">
        <f>-Z54*'Tables 26a,b-MasterInputs'!$J61</f>
        <v>-236552.33133937718</v>
      </c>
      <c r="AB54" s="299">
        <f t="shared" si="70"/>
        <v>3142766.6877945825</v>
      </c>
      <c r="AC54" s="107">
        <f>IFERROR(AB54/'Table 12-IUL Census'!$G17,0)</f>
        <v>60.513844797621559</v>
      </c>
      <c r="AD54" s="88">
        <f>'Table 12-IUL Census'!$F17</f>
        <v>3909.0613417555433</v>
      </c>
      <c r="AE54" s="89">
        <f>'Tables 26a,b-MasterInputs'!$H61</f>
        <v>10</v>
      </c>
      <c r="AF54" s="175">
        <f t="shared" si="71"/>
        <v>39090.613417555433</v>
      </c>
      <c r="AG54" s="303">
        <f t="shared" ca="1" si="72"/>
        <v>0</v>
      </c>
      <c r="AH54" s="137">
        <v>6</v>
      </c>
      <c r="AI54" s="85">
        <v>0</v>
      </c>
      <c r="AJ54" s="174">
        <f>MAX(('Table 7-10-OptionBudget'!$D$45/100)*(AR53+AI54+AK54+AL54+AM54),0)</f>
        <v>44795.979251498211</v>
      </c>
      <c r="AK54" s="300">
        <f t="shared" si="98"/>
        <v>-100917.21716546272</v>
      </c>
      <c r="AL54" s="300">
        <f t="shared" si="99"/>
        <v>-5531.8092400117439</v>
      </c>
      <c r="AM54" s="300">
        <f>-'Tables 26a,b-MasterInputs'!$F61*AI54</f>
        <v>0</v>
      </c>
      <c r="AN54" s="85">
        <f t="shared" si="73"/>
        <v>1673755.2290005982</v>
      </c>
      <c r="AO54" s="85">
        <f>-AN54*'Tables 26a,b-MasterInputs'!$I61</f>
        <v>-3715.7366083813281</v>
      </c>
      <c r="AP54" s="85">
        <f t="shared" si="74"/>
        <v>1670039.4923922168</v>
      </c>
      <c r="AQ54" s="85">
        <f>-AP54*'Tables 26a,b-MasterInputs'!$J61</f>
        <v>-116902.76446745518</v>
      </c>
      <c r="AR54" s="299">
        <f t="shared" si="75"/>
        <v>1553136.7279247616</v>
      </c>
      <c r="AS54" s="107">
        <f>IFERROR(AR54/'Table 12-IUL Census'!$G17,0)</f>
        <v>29.9055845501147</v>
      </c>
      <c r="AT54" s="88">
        <f>'Table 12-IUL Census'!$F17*(AR53/($AR53+$BH53))</f>
        <v>1931.8350182246215</v>
      </c>
      <c r="AU54" s="89">
        <f>'Tables 26a,b-MasterInputs'!$H61</f>
        <v>10</v>
      </c>
      <c r="AV54" s="175">
        <f t="shared" si="76"/>
        <v>19318.350182246217</v>
      </c>
      <c r="AW54" s="120"/>
      <c r="AX54" s="137">
        <v>6</v>
      </c>
      <c r="AY54" s="85">
        <v>0</v>
      </c>
      <c r="AZ54" s="174">
        <f>MAX(('Table 7-10-OptionBudget'!$D$45/100)*(BH53+AY54+BA54+BB54+BC54),0)</f>
        <v>45848.526674811881</v>
      </c>
      <c r="BA54" s="300">
        <f t="shared" si="100"/>
        <v>-103288.41562278726</v>
      </c>
      <c r="BB54" s="300">
        <f t="shared" si="101"/>
        <v>-5661.7872348926658</v>
      </c>
      <c r="BC54" s="300">
        <f>-'Tables 26a,b-MasterInputs'!$F61*AY54</f>
        <v>0</v>
      </c>
      <c r="BD54" s="85">
        <f t="shared" si="89"/>
        <v>1713082.5700472491</v>
      </c>
      <c r="BE54" s="85">
        <f>-BD54*'Tables 26a,b-MasterInputs'!$I61</f>
        <v>-3803.0433055048934</v>
      </c>
      <c r="BF54" s="85">
        <f t="shared" si="90"/>
        <v>1709279.5267417443</v>
      </c>
      <c r="BG54" s="85">
        <f>-BF54*'Tables 26a,b-MasterInputs'!$J61</f>
        <v>-119649.56687192211</v>
      </c>
      <c r="BH54" s="299">
        <f t="shared" si="91"/>
        <v>1589629.959869822</v>
      </c>
      <c r="BI54" s="107">
        <f>IFERROR(BH54/'Table 12-IUL Census'!$G17,0)</f>
        <v>30.608260247506887</v>
      </c>
      <c r="BJ54" s="88">
        <f>'Table 12-IUL Census'!$F17*(BH53/($AR53+$BH53))</f>
        <v>1977.2263235309219</v>
      </c>
      <c r="BK54" s="89">
        <f>'Tables 26a,b-MasterInputs'!$H61</f>
        <v>10</v>
      </c>
      <c r="BL54" s="175">
        <f t="shared" si="77"/>
        <v>19772.263235309219</v>
      </c>
      <c r="BO54" s="137">
        <v>6</v>
      </c>
      <c r="BP54" s="85">
        <v>0</v>
      </c>
      <c r="BQ54" s="174">
        <f>MAX(('Table 7-10-OptionBudget'!$D$45/100)*(BY53+BP54+BR54+BS54+BT54),0)</f>
        <v>148726.91390467761</v>
      </c>
      <c r="BR54" s="174">
        <f>MAX(-'Tables 26a,b-MasterInputs'!$E61*('Table 12-IUL Census'!$G16*1000/(1+('Tables 26a,b-MasterInputs'!E36))-(BY53+BP54+BS54+BT54)),-BY53-BS54)*IF(BU53=0,0,1)</f>
        <v>-195799.24741804239</v>
      </c>
      <c r="BS54" s="174">
        <f>-'Tables 26a,b-MasterInputs'!$G61*'Table 12-IUL Census'!$D16</f>
        <v>-11193.596474904409</v>
      </c>
      <c r="BT54" s="174">
        <f>-'Tables 26a,b-MasterInputs'!$F61*BP54</f>
        <v>0</v>
      </c>
      <c r="BU54" s="85">
        <f t="shared" si="78"/>
        <v>5557026.6349909157</v>
      </c>
      <c r="BV54" s="85">
        <f>-BU54*'Tables 26a,b-MasterInputs'!$I61</f>
        <v>-12336.599129679833</v>
      </c>
      <c r="BW54" s="85">
        <f t="shared" si="79"/>
        <v>5544690.035861236</v>
      </c>
      <c r="BX54" s="85">
        <f>-BW54*'Tables 26a,b-MasterInputs'!$J61</f>
        <v>-388128.30251028656</v>
      </c>
      <c r="BY54" s="299">
        <f t="shared" si="80"/>
        <v>5156561.7333509494</v>
      </c>
      <c r="BZ54" s="107">
        <f>IFERROR(BY54/'Table 12-IUL Census'!$G17,0)</f>
        <v>99.289386524689277</v>
      </c>
      <c r="CA54" s="88">
        <f>'Table 12-IUL Census'!$F17</f>
        <v>3909.0613417555433</v>
      </c>
      <c r="CB54" s="89">
        <f>'Tables 26a,b-MasterInputs'!$H61</f>
        <v>10</v>
      </c>
      <c r="CC54" s="175">
        <f t="shared" si="81"/>
        <v>39090.613417555433</v>
      </c>
      <c r="CD54" s="303">
        <f t="shared" ca="1" si="82"/>
        <v>0</v>
      </c>
      <c r="CE54" s="137">
        <v>6</v>
      </c>
      <c r="CF54" s="85">
        <v>0</v>
      </c>
      <c r="CG54" s="174">
        <f>MAX(('Table 7-10-OptionBudget'!$D$45/100)*(CO53+CF54+CH54+CI54+CJ54),0)</f>
        <v>48719.002751389125</v>
      </c>
      <c r="CH54" s="300">
        <f t="shared" si="102"/>
        <v>-64138.654015193104</v>
      </c>
      <c r="CI54" s="300">
        <f t="shared" si="103"/>
        <v>-3666.726103174095</v>
      </c>
      <c r="CJ54" s="300">
        <f>-'Tables 26a,b-MasterInputs'!$F61*CF54</f>
        <v>0</v>
      </c>
      <c r="CK54" s="85">
        <f t="shared" si="83"/>
        <v>1820334.9266911012</v>
      </c>
      <c r="CL54" s="85">
        <f>-CK54*'Tables 26a,b-MasterInputs'!$I61</f>
        <v>-4041.1435372542451</v>
      </c>
      <c r="CM54" s="85">
        <f t="shared" si="84"/>
        <v>1816293.7831538469</v>
      </c>
      <c r="CN54" s="85">
        <f>-CM54*'Tables 26a,b-MasterInputs'!$J61</f>
        <v>-127140.56482076929</v>
      </c>
      <c r="CO54" s="299">
        <f t="shared" si="85"/>
        <v>1689153.2183330776</v>
      </c>
      <c r="CP54" s="107">
        <f>IFERROR(CO54/'Table 12-IUL Census'!$G17,0)</f>
        <v>32.524576542887154</v>
      </c>
      <c r="CQ54" s="88">
        <f>'Table 12-IUL Census'!$F17*(CO53/(CO53+DE53+DU53))</f>
        <v>1280.5050899287671</v>
      </c>
      <c r="CR54" s="89">
        <f>'Tables 26a,b-MasterInputs'!$H61</f>
        <v>10</v>
      </c>
      <c r="CS54" s="175">
        <f t="shared" si="86"/>
        <v>12805.050899287671</v>
      </c>
      <c r="CU54" s="137">
        <v>6</v>
      </c>
      <c r="CV54" s="85">
        <v>0</v>
      </c>
      <c r="CW54" s="174">
        <f>MAX(('Table 7-10-OptionBudget'!$D$45/100)*(DE53+CV54+CX54+CY54+CZ54),0)</f>
        <v>49863.727382242469</v>
      </c>
      <c r="CX54" s="300">
        <f t="shared" si="104"/>
        <v>-65645.686033390128</v>
      </c>
      <c r="CY54" s="300">
        <f t="shared" si="105"/>
        <v>-3752.8812263878312</v>
      </c>
      <c r="CZ54" s="300">
        <f>-'Tables 26a,b-MasterInputs'!$F61*CV54</f>
        <v>0</v>
      </c>
      <c r="DA54" s="85">
        <f t="shared" si="92"/>
        <v>1863106.3733403555</v>
      </c>
      <c r="DB54" s="85">
        <f>-DA54*'Tables 26a,b-MasterInputs'!$I61</f>
        <v>-4136.0961488155899</v>
      </c>
      <c r="DC54" s="85">
        <f t="shared" si="93"/>
        <v>1858970.2771915398</v>
      </c>
      <c r="DD54" s="85">
        <f>-DC54*'Tables 26a,b-MasterInputs'!$J61</f>
        <v>-130127.9194034078</v>
      </c>
      <c r="DE54" s="299">
        <f t="shared" si="94"/>
        <v>1728842.357788132</v>
      </c>
      <c r="DF54" s="107">
        <f>IFERROR(DE54/'Table 12-IUL Census'!$G17,0)</f>
        <v>33.288789309447857</v>
      </c>
      <c r="DG54" s="88">
        <f>'Table 12-IUL Census'!$F17*(DE53/(CO53+DE53+DU53))</f>
        <v>1310.5924405228379</v>
      </c>
      <c r="DH54" s="89">
        <f>'Tables 26a,b-MasterInputs'!$H61</f>
        <v>10</v>
      </c>
      <c r="DI54" s="175">
        <f t="shared" si="87"/>
        <v>13105.924405228379</v>
      </c>
      <c r="DK54" s="137">
        <v>6</v>
      </c>
      <c r="DL54" s="85">
        <v>0</v>
      </c>
      <c r="DM54" s="174">
        <f>MAX(('Table 7-10-OptionBudget'!$D$45/100)*(DU53+DL54+DN54+DO54+DP54),0)</f>
        <v>50144.183771045988</v>
      </c>
      <c r="DN54" s="300">
        <f t="shared" si="106"/>
        <v>-66014.907369459164</v>
      </c>
      <c r="DO54" s="300">
        <f t="shared" si="107"/>
        <v>-3773.9891453424834</v>
      </c>
      <c r="DP54" s="300">
        <f>-'Tables 26a,b-MasterInputs'!$F61*DL54</f>
        <v>0</v>
      </c>
      <c r="DQ54" s="85">
        <f t="shared" si="95"/>
        <v>1873585.3349594569</v>
      </c>
      <c r="DR54" s="85">
        <f>-DQ54*'Tables 26a,b-MasterInputs'!$I61</f>
        <v>-4159.3594436099947</v>
      </c>
      <c r="DS54" s="85">
        <f t="shared" si="96"/>
        <v>1869425.9755158469</v>
      </c>
      <c r="DT54" s="85">
        <f>-DS54*'Tables 26a,b-MasterInputs'!$J61</f>
        <v>-130859.81828610929</v>
      </c>
      <c r="DU54" s="299">
        <f t="shared" si="97"/>
        <v>1738566.1572297376</v>
      </c>
      <c r="DV54" s="107">
        <f>IFERROR(DU54/'Table 12-IUL Census'!$G17,0)</f>
        <v>33.476020672354231</v>
      </c>
      <c r="DW54" s="88">
        <f>'Table 12-IUL Census'!$F17*(DU53/(CO53+DE53+DU53))</f>
        <v>1317.9638113039384</v>
      </c>
      <c r="DX54" s="89">
        <f>'Tables 26a,b-MasterInputs'!$H61</f>
        <v>10</v>
      </c>
      <c r="DY54" s="175">
        <f t="shared" si="88"/>
        <v>13179.638113039384</v>
      </c>
      <c r="EJ54" s="88"/>
      <c r="EK54" s="88"/>
      <c r="EL54" s="88"/>
      <c r="EM54" s="88"/>
      <c r="EN54" s="88"/>
      <c r="EO54" s="85"/>
      <c r="EP54" s="85"/>
      <c r="EQ54" s="85"/>
    </row>
    <row r="55" spans="1:147" x14ac:dyDescent="0.25">
      <c r="A55" s="137">
        <v>7</v>
      </c>
      <c r="B55" s="85">
        <v>0</v>
      </c>
      <c r="C55" s="174">
        <f>MAX(('Table 7-10-OptionBudget'!$D$45/100)*(K54+B55+D55+E55+F55),0)</f>
        <v>23590.255428761233</v>
      </c>
      <c r="D55" s="174">
        <f>MAX(-'Tables 26a,b-MasterInputs'!$E62*('Table 12-IUL Census'!$G17*1000/(1+('Tables 26a,b-MasterInputs'!E37))-(K54+B55+E55+F55)),-K54-E55)*IF(G54=0,0,1)</f>
        <v>-200818.52386252501</v>
      </c>
      <c r="E55" s="174">
        <f>-'Tables 26a,b-MasterInputs'!$G62*'Table 12-IUL Census'!$D17*IF(G54=0,0,1)</f>
        <v>-10386.934422379014</v>
      </c>
      <c r="F55" s="174">
        <f>-'Tables 26a,b-MasterInputs'!$F62*B55</f>
        <v>0</v>
      </c>
      <c r="G55" s="85">
        <f t="shared" si="64"/>
        <v>881425.3876597262</v>
      </c>
      <c r="H55" s="85">
        <f>-G55*'Tables 26a,b-MasterInputs'!$I62</f>
        <v>-2230.0062307791072</v>
      </c>
      <c r="I55" s="85">
        <f t="shared" si="65"/>
        <v>879195.38142894709</v>
      </c>
      <c r="J55" s="85">
        <f>-I55*'Tables 26a,b-MasterInputs'!$J62</f>
        <v>-52751.722885736825</v>
      </c>
      <c r="K55" s="299">
        <f t="shared" si="66"/>
        <v>826443.65854321024</v>
      </c>
      <c r="L55" s="107">
        <f>IFERROR(K55/'Table 12-IUL Census'!$G18,0)</f>
        <v>16.971810003164446</v>
      </c>
      <c r="M55" s="88">
        <f>'Table 12-IUL Census'!$F18</f>
        <v>3108.1966434871179</v>
      </c>
      <c r="N55" s="89">
        <f>'Tables 26a,b-MasterInputs'!$H62</f>
        <v>8</v>
      </c>
      <c r="O55" s="175">
        <f t="shared" si="67"/>
        <v>24865.573147896943</v>
      </c>
      <c r="R55" s="137">
        <v>7</v>
      </c>
      <c r="S55" s="85">
        <v>0</v>
      </c>
      <c r="T55" s="174">
        <f>MAX(('Table 7-10-OptionBudget'!$D$45/100)*(AB54+S55+U55+V55+W55),0)</f>
        <v>80848.058867760963</v>
      </c>
      <c r="U55" s="174">
        <f>MAX(-'Tables 26a,b-MasterInputs'!$E62*('Table 12-IUL Census'!$G17*1000/(1+('Tables 26a,b-MasterInputs'!E37))-(AB54+S55+V55+W55)),-AB54-V55)*IF(AB54&lt;=0,0,1)</f>
        <v>-192424.0806207408</v>
      </c>
      <c r="V55" s="174">
        <f>-'Tables 26a,b-MasterInputs'!$G62*'Table 12-IUL Census'!$D17</f>
        <v>-10386.934422379014</v>
      </c>
      <c r="W55" s="174">
        <f>-'Tables 26a,b-MasterInputs'!$F62*S55</f>
        <v>0</v>
      </c>
      <c r="X55" s="85">
        <f t="shared" si="68"/>
        <v>3020803.7316192235</v>
      </c>
      <c r="Y55" s="85">
        <f>-X55*'Tables 26a,b-MasterInputs'!$I62</f>
        <v>-7642.6334409966357</v>
      </c>
      <c r="Z55" s="85">
        <f t="shared" si="69"/>
        <v>3013161.098178227</v>
      </c>
      <c r="AA55" s="85">
        <f>-Z55*'Tables 26a,b-MasterInputs'!$J62</f>
        <v>-180789.66589069361</v>
      </c>
      <c r="AB55" s="299">
        <f t="shared" si="70"/>
        <v>2832371.4322875333</v>
      </c>
      <c r="AC55" s="107">
        <f>IFERROR(AB55/'Table 12-IUL Census'!$G18,0)</f>
        <v>58.16545303512838</v>
      </c>
      <c r="AD55" s="88">
        <f>'Table 12-IUL Census'!$F18</f>
        <v>3108.1966434871179</v>
      </c>
      <c r="AE55" s="89">
        <f>'Tables 26a,b-MasterInputs'!$H62</f>
        <v>8</v>
      </c>
      <c r="AF55" s="175">
        <f t="shared" si="71"/>
        <v>24865.573147896943</v>
      </c>
      <c r="AG55" s="303">
        <f t="shared" ca="1" si="72"/>
        <v>0</v>
      </c>
      <c r="AH55" s="137">
        <v>7</v>
      </c>
      <c r="AI55" s="85">
        <v>0</v>
      </c>
      <c r="AJ55" s="174">
        <f>MAX(('Table 7-10-OptionBudget'!$D$45/100)*(AR54+AI55+AK55+AL55+AM55),0)</f>
        <v>39954.632997926878</v>
      </c>
      <c r="AK55" s="300">
        <f t="shared" si="98"/>
        <v>-95094.84369612929</v>
      </c>
      <c r="AL55" s="300">
        <f t="shared" si="99"/>
        <v>-5133.1616198539932</v>
      </c>
      <c r="AM55" s="300">
        <f>-'Tables 26a,b-MasterInputs'!$F62*AI55</f>
        <v>0</v>
      </c>
      <c r="AN55" s="85">
        <f t="shared" si="73"/>
        <v>1492863.3556067052</v>
      </c>
      <c r="AO55" s="85">
        <f>-AN55*'Tables 26a,b-MasterInputs'!$I62</f>
        <v>-3776.9442896849641</v>
      </c>
      <c r="AP55" s="85">
        <f t="shared" si="74"/>
        <v>1489086.4113170202</v>
      </c>
      <c r="AQ55" s="85">
        <f>-AP55*'Tables 26a,b-MasterInputs'!$J62</f>
        <v>-89345.184679021215</v>
      </c>
      <c r="AR55" s="299">
        <f t="shared" si="75"/>
        <v>1399741.2266379991</v>
      </c>
      <c r="AS55" s="107">
        <f>IFERROR(AR55/'Table 12-IUL Census'!$G18,0)</f>
        <v>28.745023216672656</v>
      </c>
      <c r="AT55" s="88">
        <f>'Table 12-IUL Census'!$F18*(AR54/($AR54+$BH54))</f>
        <v>1536.0524162867284</v>
      </c>
      <c r="AU55" s="89">
        <f>'Tables 26a,b-MasterInputs'!$H62</f>
        <v>8</v>
      </c>
      <c r="AV55" s="175">
        <f t="shared" si="76"/>
        <v>12288.419330293827</v>
      </c>
      <c r="AW55" s="120"/>
      <c r="AX55" s="137">
        <v>7</v>
      </c>
      <c r="AY55" s="85">
        <v>0</v>
      </c>
      <c r="AZ55" s="174">
        <f>MAX(('Table 7-10-OptionBudget'!$D$45/100)*(BH54+AY55+BA55+BB55+BC55),0)</f>
        <v>40893.425869834122</v>
      </c>
      <c r="BA55" s="300">
        <f t="shared" si="100"/>
        <v>-97329.236924611498</v>
      </c>
      <c r="BB55" s="300">
        <f t="shared" si="101"/>
        <v>-5253.7728025250199</v>
      </c>
      <c r="BC55" s="300">
        <f>-'Tables 26a,b-MasterInputs'!$F62*AY55</f>
        <v>0</v>
      </c>
      <c r="BD55" s="85">
        <f t="shared" si="89"/>
        <v>1527940.3760125197</v>
      </c>
      <c r="BE55" s="85">
        <f>-BD55*'Tables 26a,b-MasterInputs'!$I62</f>
        <v>-3865.6891513116752</v>
      </c>
      <c r="BF55" s="85">
        <f t="shared" si="90"/>
        <v>1524074.6868612079</v>
      </c>
      <c r="BG55" s="85">
        <f>-BF55*'Tables 26a,b-MasterInputs'!$J62</f>
        <v>-91444.481211672479</v>
      </c>
      <c r="BH55" s="299">
        <f t="shared" si="91"/>
        <v>1432630.2056495354</v>
      </c>
      <c r="BI55" s="107">
        <f>IFERROR(BH55/'Table 12-IUL Census'!$G18,0)</f>
        <v>29.420429818455752</v>
      </c>
      <c r="BJ55" s="88">
        <f>'Table 12-IUL Census'!$F18*(BH54/($AR54+$BH54))</f>
        <v>1572.144227200389</v>
      </c>
      <c r="BK55" s="89">
        <f>'Tables 26a,b-MasterInputs'!$H62</f>
        <v>8</v>
      </c>
      <c r="BL55" s="175">
        <f t="shared" si="77"/>
        <v>12577.153817603112</v>
      </c>
      <c r="BO55" s="137">
        <v>7</v>
      </c>
      <c r="BP55" s="85">
        <v>0</v>
      </c>
      <c r="BQ55" s="174">
        <f>MAX(('Table 7-10-OptionBudget'!$D$45/100)*(BY54+BP55+BR55+BS55+BT55),0)</f>
        <v>136451.10164000065</v>
      </c>
      <c r="BR55" s="174">
        <f>MAX(-'Tables 26a,b-MasterInputs'!$E62*('Table 12-IUL Census'!$G17*1000/(1+('Tables 26a,b-MasterInputs'!E37))-(BY54+BP55+BS55+BT55)),-BY54-BS55)*IF(BU54=0,0,1)</f>
        <v>-184272.23827632863</v>
      </c>
      <c r="BS55" s="174">
        <f>-'Tables 26a,b-MasterInputs'!$G62*'Table 12-IUL Census'!$D17</f>
        <v>-10386.934422379014</v>
      </c>
      <c r="BT55" s="174">
        <f>-'Tables 26a,b-MasterInputs'!$F62*BP55</f>
        <v>0</v>
      </c>
      <c r="BU55" s="85">
        <f t="shared" si="78"/>
        <v>5098353.6622922421</v>
      </c>
      <c r="BV55" s="85">
        <f>-BU55*'Tables 26a,b-MasterInputs'!$I62</f>
        <v>-12898.834765599373</v>
      </c>
      <c r="BW55" s="85">
        <f t="shared" si="79"/>
        <v>5085454.8275266429</v>
      </c>
      <c r="BX55" s="85">
        <f>-BW55*'Tables 26a,b-MasterInputs'!$J62</f>
        <v>-305127.28965159855</v>
      </c>
      <c r="BY55" s="299">
        <f t="shared" si="80"/>
        <v>4780327.5378750442</v>
      </c>
      <c r="BZ55" s="107">
        <f>IFERROR(BY55/'Table 12-IUL Census'!$G18,0)</f>
        <v>98.168592483026799</v>
      </c>
      <c r="CA55" s="88">
        <f>'Table 12-IUL Census'!$F18</f>
        <v>3108.1966434871179</v>
      </c>
      <c r="CB55" s="89">
        <f>'Tables 26a,b-MasterInputs'!$H62</f>
        <v>8</v>
      </c>
      <c r="CC55" s="175">
        <f t="shared" si="81"/>
        <v>24865.573147896943</v>
      </c>
      <c r="CD55" s="303">
        <f t="shared" ca="1" si="82"/>
        <v>0</v>
      </c>
      <c r="CE55" s="137">
        <v>7</v>
      </c>
      <c r="CF55" s="85">
        <v>0</v>
      </c>
      <c r="CG55" s="174">
        <f>MAX(('Table 7-10-OptionBudget'!$D$45/100)*(CO54+CF55+CH55+CI55+CJ55),0)</f>
        <v>44697.771383126834</v>
      </c>
      <c r="CH55" s="300">
        <f t="shared" si="102"/>
        <v>-60362.710742071919</v>
      </c>
      <c r="CI55" s="300">
        <f t="shared" si="103"/>
        <v>-3402.4849532392955</v>
      </c>
      <c r="CJ55" s="300">
        <f>-'Tables 26a,b-MasterInputs'!$F62*CF55</f>
        <v>0</v>
      </c>
      <c r="CK55" s="85">
        <f t="shared" si="83"/>
        <v>1670085.7940208933</v>
      </c>
      <c r="CL55" s="85">
        <f>-CK55*'Tables 26a,b-MasterInputs'!$I62</f>
        <v>-4225.3170588728599</v>
      </c>
      <c r="CM55" s="85">
        <f t="shared" si="84"/>
        <v>1665860.4769620204</v>
      </c>
      <c r="CN55" s="85">
        <f>-CM55*'Tables 26a,b-MasterInputs'!$J62</f>
        <v>-99951.628617721217</v>
      </c>
      <c r="CO55" s="299">
        <f t="shared" si="85"/>
        <v>1565908.8483442992</v>
      </c>
      <c r="CP55" s="107">
        <f>IFERROR(CO55/'Table 12-IUL Census'!$G18,0)</f>
        <v>32.15743406298273</v>
      </c>
      <c r="CQ55" s="88">
        <f>'Table 12-IUL Census'!$F18*(CO54/(CO54+DE54+DU54))</f>
        <v>1018.1629998922798</v>
      </c>
      <c r="CR55" s="89">
        <f>'Tables 26a,b-MasterInputs'!$H62</f>
        <v>8</v>
      </c>
      <c r="CS55" s="175">
        <f t="shared" si="86"/>
        <v>8145.3039991382384</v>
      </c>
      <c r="CU55" s="137">
        <v>7</v>
      </c>
      <c r="CV55" s="85">
        <v>0</v>
      </c>
      <c r="CW55" s="174">
        <f>MAX(('Table 7-10-OptionBudget'!$D$45/100)*(DE54+CV55+CX55+CY55+CZ55),0)</f>
        <v>45748.01126811828</v>
      </c>
      <c r="CX55" s="300">
        <f t="shared" si="104"/>
        <v>-61781.021418998796</v>
      </c>
      <c r="CY55" s="300">
        <f t="shared" si="105"/>
        <v>-3482.4313419606829</v>
      </c>
      <c r="CZ55" s="300">
        <f>-'Tables 26a,b-MasterInputs'!$F62*CV55</f>
        <v>0</v>
      </c>
      <c r="DA55" s="85">
        <f t="shared" si="92"/>
        <v>1709326.9162952909</v>
      </c>
      <c r="DB55" s="85">
        <f>-DA55*'Tables 26a,b-MasterInputs'!$I62</f>
        <v>-4324.5970982270865</v>
      </c>
      <c r="DC55" s="85">
        <f t="shared" si="93"/>
        <v>1705002.3191970638</v>
      </c>
      <c r="DD55" s="85">
        <f>-DC55*'Tables 26a,b-MasterInputs'!$J62</f>
        <v>-102300.13915182382</v>
      </c>
      <c r="DE55" s="299">
        <f t="shared" si="94"/>
        <v>1602702.1800452401</v>
      </c>
      <c r="DF55" s="107">
        <f>IFERROR(DE55/'Table 12-IUL Census'!$G18,0)</f>
        <v>32.913020276944984</v>
      </c>
      <c r="DG55" s="88">
        <f>'Table 12-IUL Census'!$F18*(DE54/(CO54+DE54+DU54))</f>
        <v>1042.0862371996564</v>
      </c>
      <c r="DH55" s="89">
        <f>'Tables 26a,b-MasterInputs'!$H62</f>
        <v>8</v>
      </c>
      <c r="DI55" s="175">
        <f t="shared" si="87"/>
        <v>8336.6898975972508</v>
      </c>
      <c r="DK55" s="137">
        <v>7</v>
      </c>
      <c r="DL55" s="85">
        <v>0</v>
      </c>
      <c r="DM55" s="174">
        <f>MAX(('Table 7-10-OptionBudget'!$D$45/100)*(DU54+DL55+DN55+DO55+DP55),0)</f>
        <v>46005.318988755476</v>
      </c>
      <c r="DN55" s="300">
        <f t="shared" si="106"/>
        <v>-62128.5061152579</v>
      </c>
      <c r="DO55" s="300">
        <f t="shared" si="107"/>
        <v>-3502.0181271790352</v>
      </c>
      <c r="DP55" s="300">
        <f>-'Tables 26a,b-MasterInputs'!$F62*DL55</f>
        <v>0</v>
      </c>
      <c r="DQ55" s="85">
        <f t="shared" si="95"/>
        <v>1718940.9519760562</v>
      </c>
      <c r="DR55" s="85">
        <f>-DQ55*'Tables 26a,b-MasterInputs'!$I62</f>
        <v>-4348.9206084994221</v>
      </c>
      <c r="DS55" s="85">
        <f t="shared" si="96"/>
        <v>1714592.0313675569</v>
      </c>
      <c r="DT55" s="85">
        <f>-DS55*'Tables 26a,b-MasterInputs'!$J62</f>
        <v>-102875.52188205341</v>
      </c>
      <c r="DU55" s="299">
        <f t="shared" si="97"/>
        <v>1611716.5094855034</v>
      </c>
      <c r="DV55" s="107">
        <f>IFERROR(DU55/'Table 12-IUL Census'!$G18,0)</f>
        <v>33.09813814309905</v>
      </c>
      <c r="DW55" s="88">
        <f>'Table 12-IUL Census'!$F18*(DU54/(CO54+DE54+DU54))</f>
        <v>1047.9474063951816</v>
      </c>
      <c r="DX55" s="89">
        <f>'Tables 26a,b-MasterInputs'!$H62</f>
        <v>8</v>
      </c>
      <c r="DY55" s="175">
        <f t="shared" si="88"/>
        <v>8383.5792511614527</v>
      </c>
      <c r="EJ55" s="88"/>
      <c r="EK55" s="88"/>
      <c r="EL55" s="88"/>
      <c r="EM55" s="88"/>
      <c r="EN55" s="88"/>
      <c r="EO55" s="85"/>
      <c r="EP55" s="85"/>
      <c r="EQ55" s="85"/>
    </row>
    <row r="56" spans="1:147" x14ac:dyDescent="0.25">
      <c r="A56" s="137">
        <v>8</v>
      </c>
      <c r="B56" s="85">
        <v>0</v>
      </c>
      <c r="C56" s="174">
        <f>MAX(('Table 7-10-OptionBudget'!$D$45/100)*(K55+B56+D56+E56+F56),0)</f>
        <v>17372.038238492514</v>
      </c>
      <c r="D56" s="174">
        <f>MAX(-'Tables 26a,b-MasterInputs'!$E63*('Table 12-IUL Census'!$G18*1000/(1+('Tables 26a,b-MasterInputs'!E38))-(K55+B56+E56+F56)),-K55-E56)*IF(G55=0,0,1)</f>
        <v>-184988.51857116501</v>
      </c>
      <c r="E56" s="174">
        <f>-'Tables 26a,b-MasterInputs'!$G63*'Table 12-IUL Census'!$D18*IF(G55=0,0,1)</f>
        <v>-9739.0161495929697</v>
      </c>
      <c r="F56" s="174">
        <f>-'Tables 26a,b-MasterInputs'!$F63*B56</f>
        <v>0</v>
      </c>
      <c r="G56" s="85">
        <f t="shared" si="64"/>
        <v>649088.16206094483</v>
      </c>
      <c r="H56" s="85">
        <f>-G56*'Tables 26a,b-MasterInputs'!$I63</f>
        <v>-1836.919498632474</v>
      </c>
      <c r="I56" s="85">
        <f t="shared" si="65"/>
        <v>647251.2425623124</v>
      </c>
      <c r="J56" s="85">
        <f>-I56*'Tables 26a,b-MasterInputs'!$J63</f>
        <v>-32362.56212811562</v>
      </c>
      <c r="K56" s="299">
        <f t="shared" si="66"/>
        <v>614888.68043419672</v>
      </c>
      <c r="L56" s="107">
        <f>IFERROR(K56/'Table 12-IUL Census'!$G19,0)</f>
        <v>13.329645460913888</v>
      </c>
      <c r="M56" s="88">
        <f>'Table 12-IUL Census'!$F19</f>
        <v>2427.8636834724057</v>
      </c>
      <c r="N56" s="89">
        <f>'Tables 26a,b-MasterInputs'!$H63</f>
        <v>6</v>
      </c>
      <c r="O56" s="175">
        <f t="shared" si="67"/>
        <v>14567.182100834434</v>
      </c>
      <c r="R56" s="137">
        <v>8</v>
      </c>
      <c r="S56" s="85">
        <v>0</v>
      </c>
      <c r="T56" s="174">
        <f>MAX(('Table 7-10-OptionBudget'!$D$45/100)*(AB55+S56+U56+V56+W56),0)</f>
        <v>72753.11321462896</v>
      </c>
      <c r="U56" s="174">
        <f>MAX(-'Tables 26a,b-MasterInputs'!$E63*('Table 12-IUL Census'!$G18*1000/(1+('Tables 26a,b-MasterInputs'!E38))-(AB55+S56+V56+W56)),-AB55-V56)*IF(AB55&lt;=0,0,1)</f>
        <v>-177041.03273159001</v>
      </c>
      <c r="V56" s="174">
        <f>-'Tables 26a,b-MasterInputs'!$G63*'Table 12-IUL Census'!$D18</f>
        <v>-9739.0161495929697</v>
      </c>
      <c r="W56" s="174">
        <f>-'Tables 26a,b-MasterInputs'!$F63*S56</f>
        <v>0</v>
      </c>
      <c r="X56" s="85">
        <f t="shared" si="68"/>
        <v>2718344.4966209792</v>
      </c>
      <c r="Y56" s="85">
        <f>-X56*'Tables 26a,b-MasterInputs'!$I63</f>
        <v>-7692.9149254373715</v>
      </c>
      <c r="Z56" s="85">
        <f t="shared" si="69"/>
        <v>2710651.5816955417</v>
      </c>
      <c r="AA56" s="85">
        <f>-Z56*'Tables 26a,b-MasterInputs'!$J63</f>
        <v>-135532.5790847771</v>
      </c>
      <c r="AB56" s="299">
        <f t="shared" si="70"/>
        <v>2575119.0026107645</v>
      </c>
      <c r="AC56" s="107">
        <f>IFERROR(AB56/'Table 12-IUL Census'!$G19,0)</f>
        <v>55.823800984960663</v>
      </c>
      <c r="AD56" s="88">
        <f>'Table 12-IUL Census'!$F19</f>
        <v>2427.8636834724057</v>
      </c>
      <c r="AE56" s="89">
        <f>'Tables 26a,b-MasterInputs'!$H63</f>
        <v>6</v>
      </c>
      <c r="AF56" s="175">
        <f t="shared" si="71"/>
        <v>14567.182100834434</v>
      </c>
      <c r="AG56" s="303">
        <f t="shared" ca="1" si="72"/>
        <v>0</v>
      </c>
      <c r="AH56" s="137">
        <v>8</v>
      </c>
      <c r="AI56" s="85">
        <v>0</v>
      </c>
      <c r="AJ56" s="174">
        <f>MAX(('Table 7-10-OptionBudget'!$D$45/100)*(AR55+AI56+AK56+AL56+AM56),0)</f>
        <v>35954.158685512382</v>
      </c>
      <c r="AK56" s="300">
        <f t="shared" si="98"/>
        <v>-87492.632320765741</v>
      </c>
      <c r="AL56" s="300">
        <f t="shared" si="99"/>
        <v>-4812.9642376984166</v>
      </c>
      <c r="AM56" s="300">
        <f>-'Tables 26a,b-MasterInputs'!$F63*AI56</f>
        <v>0</v>
      </c>
      <c r="AN56" s="85">
        <f t="shared" si="73"/>
        <v>1343389.7887650472</v>
      </c>
      <c r="AO56" s="85">
        <f>-AN56*'Tables 26a,b-MasterInputs'!$I63</f>
        <v>-3801.7931022050839</v>
      </c>
      <c r="AP56" s="85">
        <f t="shared" si="74"/>
        <v>1339587.9956628422</v>
      </c>
      <c r="AQ56" s="85">
        <f>-AP56*'Tables 26a,b-MasterInputs'!$J63</f>
        <v>-66979.399783142115</v>
      </c>
      <c r="AR56" s="299">
        <f t="shared" si="75"/>
        <v>1272608.5958797</v>
      </c>
      <c r="AS56" s="107">
        <f>IFERROR(AR56/'Table 12-IUL Census'!$G19,0)</f>
        <v>27.587792609239955</v>
      </c>
      <c r="AT56" s="88">
        <f>'Table 12-IUL Census'!$F19*(AR55/($AR55+$BH55))</f>
        <v>1199.8358872264325</v>
      </c>
      <c r="AU56" s="89">
        <f>'Tables 26a,b-MasterInputs'!$H63</f>
        <v>6</v>
      </c>
      <c r="AV56" s="175">
        <f t="shared" si="76"/>
        <v>7199.0153233585952</v>
      </c>
      <c r="AW56" s="120"/>
      <c r="AX56" s="137">
        <v>8</v>
      </c>
      <c r="AY56" s="85">
        <v>0</v>
      </c>
      <c r="AZ56" s="174">
        <f>MAX(('Table 7-10-OptionBudget'!$D$45/100)*(BH55+AY56+BA56+BB56+BC56),0)</f>
        <v>36798.954529116607</v>
      </c>
      <c r="BA56" s="300">
        <f t="shared" si="100"/>
        <v>-89548.400410824237</v>
      </c>
      <c r="BB56" s="300">
        <f t="shared" si="101"/>
        <v>-4926.0519118945522</v>
      </c>
      <c r="BC56" s="300">
        <f>-'Tables 26a,b-MasterInputs'!$F63*AY56</f>
        <v>0</v>
      </c>
      <c r="BD56" s="85">
        <f t="shared" si="89"/>
        <v>1374954.7078559331</v>
      </c>
      <c r="BE56" s="85">
        <f>-BD56*'Tables 26a,b-MasterInputs'!$I63</f>
        <v>-3891.1218232322908</v>
      </c>
      <c r="BF56" s="85">
        <f t="shared" si="90"/>
        <v>1371063.5860327007</v>
      </c>
      <c r="BG56" s="85">
        <f>-BF56*'Tables 26a,b-MasterInputs'!$J63</f>
        <v>-68553.179301635042</v>
      </c>
      <c r="BH56" s="299">
        <f t="shared" si="91"/>
        <v>1302510.4067310656</v>
      </c>
      <c r="BI56" s="107">
        <f>IFERROR(BH56/'Table 12-IUL Census'!$G19,0)</f>
        <v>28.236008375720736</v>
      </c>
      <c r="BJ56" s="88">
        <f>'Table 12-IUL Census'!$F19*(BH55/($AR55+$BH55))</f>
        <v>1228.0277962459729</v>
      </c>
      <c r="BK56" s="89">
        <f>'Tables 26a,b-MasterInputs'!$H63</f>
        <v>6</v>
      </c>
      <c r="BL56" s="175">
        <f t="shared" si="77"/>
        <v>7368.1667774758371</v>
      </c>
      <c r="BO56" s="137">
        <v>8</v>
      </c>
      <c r="BP56" s="85">
        <v>0</v>
      </c>
      <c r="BQ56" s="174">
        <f>MAX(('Table 7-10-OptionBudget'!$D$45/100)*(BY55+BP56+BR56+BS56+BT56),0)</f>
        <v>126533.66530918067</v>
      </c>
      <c r="BR56" s="174">
        <f>MAX(-'Tables 26a,b-MasterInputs'!$E63*('Table 12-IUL Census'!$G18*1000/(1+('Tables 26a,b-MasterInputs'!E38))-(BY55+BP56+BS56+BT56)),-BY55-BS56)*IF(BU55=0,0,1)</f>
        <v>-169323.23064125227</v>
      </c>
      <c r="BS56" s="174">
        <f>-'Tables 26a,b-MasterInputs'!$G63*'Table 12-IUL Census'!$D18</f>
        <v>-9739.0161495929697</v>
      </c>
      <c r="BT56" s="174">
        <f>-'Tables 26a,b-MasterInputs'!$F63*BP56</f>
        <v>0</v>
      </c>
      <c r="BU56" s="85">
        <f t="shared" si="78"/>
        <v>4727798.9563933797</v>
      </c>
      <c r="BV56" s="85">
        <f>-BU56*'Tables 26a,b-MasterInputs'!$I63</f>
        <v>-13379.671046593265</v>
      </c>
      <c r="BW56" s="85">
        <f t="shared" si="79"/>
        <v>4714419.2853467865</v>
      </c>
      <c r="BX56" s="85">
        <f>-BW56*'Tables 26a,b-MasterInputs'!$J63</f>
        <v>-235720.96426733932</v>
      </c>
      <c r="BY56" s="299">
        <f t="shared" si="80"/>
        <v>4478698.3210794469</v>
      </c>
      <c r="BZ56" s="107">
        <f>IFERROR(BY56/'Table 12-IUL Census'!$G19,0)</f>
        <v>97.089867883440618</v>
      </c>
      <c r="CA56" s="88">
        <f>'Table 12-IUL Census'!$F19</f>
        <v>2427.8636834724057</v>
      </c>
      <c r="CB56" s="89">
        <f>'Tables 26a,b-MasterInputs'!$H63</f>
        <v>6</v>
      </c>
      <c r="CC56" s="175">
        <f t="shared" si="81"/>
        <v>14567.182100834434</v>
      </c>
      <c r="CD56" s="303">
        <f t="shared" ca="1" si="82"/>
        <v>0</v>
      </c>
      <c r="CE56" s="137">
        <v>8</v>
      </c>
      <c r="CF56" s="85">
        <v>0</v>
      </c>
      <c r="CG56" s="174">
        <f>MAX(('Table 7-10-OptionBudget'!$D$45/100)*(CO55+CF56+CH56+CI56+CJ56),0)</f>
        <v>41449.081585141663</v>
      </c>
      <c r="CH56" s="300">
        <f t="shared" si="102"/>
        <v>-55465.811283977826</v>
      </c>
      <c r="CI56" s="300">
        <f t="shared" si="103"/>
        <v>-3190.2440663291427</v>
      </c>
      <c r="CJ56" s="300">
        <f>-'Tables 26a,b-MasterInputs'!$F63*CF56</f>
        <v>0</v>
      </c>
      <c r="CK56" s="85">
        <f t="shared" si="83"/>
        <v>1548701.8745791339</v>
      </c>
      <c r="CL56" s="85">
        <f>-CK56*'Tables 26a,b-MasterInputs'!$I63</f>
        <v>-4382.8263050589494</v>
      </c>
      <c r="CM56" s="85">
        <f t="shared" si="84"/>
        <v>1544319.0482740749</v>
      </c>
      <c r="CN56" s="85">
        <f>-CM56*'Tables 26a,b-MasterInputs'!$J63</f>
        <v>-77215.952413703752</v>
      </c>
      <c r="CO56" s="299">
        <f t="shared" si="85"/>
        <v>1467103.0958603711</v>
      </c>
      <c r="CP56" s="107">
        <f>IFERROR(CO56/'Table 12-IUL Census'!$G19,0)</f>
        <v>31.804072419447834</v>
      </c>
      <c r="CQ56" s="88">
        <f>'Table 12-IUL Census'!$F19*(CO55/(CO55+DE55+DU55))</f>
        <v>795.30391890535793</v>
      </c>
      <c r="CR56" s="89">
        <f>'Tables 26a,b-MasterInputs'!$H63</f>
        <v>6</v>
      </c>
      <c r="CS56" s="175">
        <f t="shared" si="86"/>
        <v>4771.8235134321476</v>
      </c>
      <c r="CU56" s="137">
        <v>8</v>
      </c>
      <c r="CV56" s="85">
        <v>0</v>
      </c>
      <c r="CW56" s="174">
        <f>MAX(('Table 7-10-OptionBudget'!$D$45/100)*(DE55+CV56+CX56+CY56+CZ56),0)</f>
        <v>42422.988724803072</v>
      </c>
      <c r="CX56" s="300">
        <f t="shared" si="104"/>
        <v>-56769.062105244324</v>
      </c>
      <c r="CY56" s="300">
        <f t="shared" si="105"/>
        <v>-3265.2035432255902</v>
      </c>
      <c r="CZ56" s="300">
        <f>-'Tables 26a,b-MasterInputs'!$F63*CV56</f>
        <v>0</v>
      </c>
      <c r="DA56" s="85">
        <f t="shared" si="92"/>
        <v>1585090.9031215732</v>
      </c>
      <c r="DB56" s="85">
        <f>-DA56*'Tables 26a,b-MasterInputs'!$I63</f>
        <v>-4485.8072558340518</v>
      </c>
      <c r="DC56" s="85">
        <f t="shared" si="93"/>
        <v>1580605.095865739</v>
      </c>
      <c r="DD56" s="85">
        <f>-DC56*'Tables 26a,b-MasterInputs'!$J63</f>
        <v>-79030.254793286964</v>
      </c>
      <c r="DE56" s="299">
        <f t="shared" si="94"/>
        <v>1501574.841072452</v>
      </c>
      <c r="DF56" s="107">
        <f>IFERROR(DE56/'Table 12-IUL Census'!$G19,0)</f>
        <v>32.551355881832478</v>
      </c>
      <c r="DG56" s="88">
        <f>'Table 12-IUL Census'!$F19*(DE55/(CO55+DE55+DU55))</f>
        <v>813.99075429956554</v>
      </c>
      <c r="DH56" s="89">
        <f>'Tables 26a,b-MasterInputs'!$H63</f>
        <v>6</v>
      </c>
      <c r="DI56" s="175">
        <f t="shared" si="87"/>
        <v>4883.944525797393</v>
      </c>
      <c r="DK56" s="137">
        <v>8</v>
      </c>
      <c r="DL56" s="85">
        <v>0</v>
      </c>
      <c r="DM56" s="174">
        <f>MAX(('Table 7-10-OptionBudget'!$D$45/100)*(DU55+DL56+DN56+DO56+DP56),0)</f>
        <v>42661.59499923588</v>
      </c>
      <c r="DN56" s="300">
        <f t="shared" si="106"/>
        <v>-57088.35725203011</v>
      </c>
      <c r="DO56" s="300">
        <f t="shared" si="107"/>
        <v>-3283.5685400382354</v>
      </c>
      <c r="DP56" s="300">
        <f>-'Tables 26a,b-MasterInputs'!$F63*DL56</f>
        <v>0</v>
      </c>
      <c r="DQ56" s="85">
        <f t="shared" si="95"/>
        <v>1594006.178692671</v>
      </c>
      <c r="DR56" s="85">
        <f>-DQ56*'Tables 26a,b-MasterInputs'!$I63</f>
        <v>-4511.0374857002589</v>
      </c>
      <c r="DS56" s="85">
        <f t="shared" si="96"/>
        <v>1589495.1412069707</v>
      </c>
      <c r="DT56" s="85">
        <f>-DS56*'Tables 26a,b-MasterInputs'!$J63</f>
        <v>-79474.757060348536</v>
      </c>
      <c r="DU56" s="299">
        <f t="shared" si="97"/>
        <v>1510020.3841466221</v>
      </c>
      <c r="DV56" s="107">
        <f>IFERROR(DU56/'Table 12-IUL Census'!$G19,0)</f>
        <v>32.73443958216027</v>
      </c>
      <c r="DW56" s="88">
        <f>'Table 12-IUL Census'!$F19*(DU55/(CO55+DE55+DU55))</f>
        <v>818.56901026748187</v>
      </c>
      <c r="DX56" s="89">
        <f>'Tables 26a,b-MasterInputs'!$H63</f>
        <v>6</v>
      </c>
      <c r="DY56" s="175">
        <f t="shared" si="88"/>
        <v>4911.4140616048917</v>
      </c>
      <c r="EJ56" s="88"/>
      <c r="EK56" s="88"/>
      <c r="EL56" s="88"/>
      <c r="EM56" s="88"/>
      <c r="EN56" s="88"/>
      <c r="EO56" s="85"/>
      <c r="EP56" s="85"/>
      <c r="EQ56" s="85"/>
    </row>
    <row r="57" spans="1:147" x14ac:dyDescent="0.25">
      <c r="A57" s="137">
        <v>9</v>
      </c>
      <c r="B57" s="85">
        <v>0</v>
      </c>
      <c r="C57" s="174">
        <f>MAX(('Table 7-10-OptionBudget'!$D$45/100)*(K56+B57+D57+E57+F57),0)</f>
        <v>12098.986504253762</v>
      </c>
      <c r="D57" s="174">
        <f>MAX(-'Tables 26a,b-MasterInputs'!$E64*('Table 12-IUL Census'!$G19*1000/(1+('Tables 26a,b-MasterInputs'!E39))-(K56+B57+E57+F57)),-K56-E57)*IF(G56=0,0,1)</f>
        <v>-165695.72308761001</v>
      </c>
      <c r="E57" s="174">
        <f>-'Tables 26a,b-MasterInputs'!$G64*'Table 12-IUL Census'!$D19*IF(G56=0,0,1)</f>
        <v>-9225.8819971951416</v>
      </c>
      <c r="F57" s="174">
        <f>-'Tables 26a,b-MasterInputs'!$F64*B57</f>
        <v>0</v>
      </c>
      <c r="G57" s="85">
        <f t="shared" si="64"/>
        <v>452066.06185364537</v>
      </c>
      <c r="H57" s="85">
        <f>-G57*'Tables 26a,b-MasterInputs'!$I64</f>
        <v>-1405.9254523648372</v>
      </c>
      <c r="I57" s="85">
        <f t="shared" si="65"/>
        <v>450660.13640128053</v>
      </c>
      <c r="J57" s="85">
        <f>-I57*'Tables 26a,b-MasterInputs'!$J64</f>
        <v>-18026.405456051223</v>
      </c>
      <c r="K57" s="299">
        <f t="shared" si="66"/>
        <v>432633.7309452293</v>
      </c>
      <c r="L57" s="107">
        <f>IFERROR(K57/'Table 12-IUL Census'!$G20,0)</f>
        <v>9.7999532617278842</v>
      </c>
      <c r="M57" s="88">
        <f>'Table 12-IUL Census'!$F20</f>
        <v>1839.4379008367732</v>
      </c>
      <c r="N57" s="89">
        <f>'Tables 26a,b-MasterInputs'!$H64</f>
        <v>4</v>
      </c>
      <c r="O57" s="175">
        <f t="shared" si="67"/>
        <v>7357.7516033470929</v>
      </c>
      <c r="R57" s="137">
        <v>9</v>
      </c>
      <c r="S57" s="85">
        <v>0</v>
      </c>
      <c r="T57" s="174">
        <f>MAX(('Table 7-10-OptionBudget'!$D$45/100)*(AB56+S57+U57+V57+W57),0)</f>
        <v>66206.015519401277</v>
      </c>
      <c r="U57" s="174">
        <f>MAX(-'Tables 26a,b-MasterInputs'!$E64*('Table 12-IUL Census'!$G19*1000/(1+('Tables 26a,b-MasterInputs'!E39))-(AB56+S57+V57+W57)),-AB56-V57)*IF(AB56&lt;=0,0,1)</f>
        <v>-158380.14352524705</v>
      </c>
      <c r="V57" s="174">
        <f>-'Tables 26a,b-MasterInputs'!$G64*'Table 12-IUL Census'!$D19</f>
        <v>-9225.8819971951416</v>
      </c>
      <c r="W57" s="174">
        <f>-'Tables 26a,b-MasterInputs'!$F64*S57</f>
        <v>0</v>
      </c>
      <c r="X57" s="85">
        <f t="shared" si="68"/>
        <v>2473718.9926077235</v>
      </c>
      <c r="Y57" s="85">
        <f>-X57*'Tables 26a,b-MasterInputs'!$I64</f>
        <v>-7693.2660670100195</v>
      </c>
      <c r="Z57" s="85">
        <f t="shared" si="69"/>
        <v>2466025.7265407136</v>
      </c>
      <c r="AA57" s="85">
        <f>-Z57*'Tables 26a,b-MasterInputs'!$J64</f>
        <v>-98641.029061628549</v>
      </c>
      <c r="AB57" s="299">
        <f t="shared" si="70"/>
        <v>2367384.6974790851</v>
      </c>
      <c r="AC57" s="107">
        <f>IFERROR(AB57/'Table 12-IUL Census'!$G20,0)</f>
        <v>53.625636949611668</v>
      </c>
      <c r="AD57" s="88">
        <f>'Table 12-IUL Census'!$F20</f>
        <v>1839.4379008367732</v>
      </c>
      <c r="AE57" s="89">
        <f>'Tables 26a,b-MasterInputs'!$H64</f>
        <v>4</v>
      </c>
      <c r="AF57" s="175">
        <f t="shared" si="71"/>
        <v>7357.7516033470929</v>
      </c>
      <c r="AG57" s="303">
        <f t="shared" ca="1" si="72"/>
        <v>0</v>
      </c>
      <c r="AH57" s="137">
        <v>9</v>
      </c>
      <c r="AI57" s="85">
        <v>0</v>
      </c>
      <c r="AJ57" s="174">
        <f>MAX(('Table 7-10-OptionBudget'!$D$45/100)*(AR56+AI57+AK57+AL57+AM57),0)</f>
        <v>32718.621688362466</v>
      </c>
      <c r="AK57" s="300">
        <f t="shared" si="98"/>
        <v>-78270.531133723925</v>
      </c>
      <c r="AL57" s="300">
        <f t="shared" si="99"/>
        <v>-4559.3763714604456</v>
      </c>
      <c r="AM57" s="300">
        <f>-'Tables 26a,b-MasterInputs'!$F64*AI57</f>
        <v>0</v>
      </c>
      <c r="AN57" s="85">
        <f t="shared" si="73"/>
        <v>1222497.3100628781</v>
      </c>
      <c r="AO57" s="85">
        <f>-AN57*'Tables 26a,b-MasterInputs'!$I64</f>
        <v>-3801.9666342955506</v>
      </c>
      <c r="AP57" s="85">
        <f t="shared" si="74"/>
        <v>1218695.3434285824</v>
      </c>
      <c r="AQ57" s="85">
        <f>-AP57*'Tables 26a,b-MasterInputs'!$J64</f>
        <v>-48747.813737143297</v>
      </c>
      <c r="AR57" s="299">
        <f t="shared" si="75"/>
        <v>1169947.5296914391</v>
      </c>
      <c r="AS57" s="107">
        <f>IFERROR(AR57/'Table 12-IUL Census'!$G20,0)</f>
        <v>26.50147293092504</v>
      </c>
      <c r="AT57" s="88">
        <f>'Table 12-IUL Census'!$F20*(AR56/($AR56+$BH56))</f>
        <v>909.03934218904078</v>
      </c>
      <c r="AU57" s="89">
        <f>'Tables 26a,b-MasterInputs'!$H64</f>
        <v>4</v>
      </c>
      <c r="AV57" s="175">
        <f t="shared" si="76"/>
        <v>3636.1573687561631</v>
      </c>
      <c r="AW57" s="120"/>
      <c r="AX57" s="137">
        <v>9</v>
      </c>
      <c r="AY57" s="85">
        <v>0</v>
      </c>
      <c r="AZ57" s="174">
        <f>MAX(('Table 7-10-OptionBudget'!$D$45/100)*(BH56+AY57+BA57+BB57+BC57),0)</f>
        <v>33487.393831038833</v>
      </c>
      <c r="BA57" s="300">
        <f t="shared" si="100"/>
        <v>-80109.612391523144</v>
      </c>
      <c r="BB57" s="300">
        <f t="shared" si="101"/>
        <v>-4666.5056257346978</v>
      </c>
      <c r="BC57" s="300">
        <f>-'Tables 26a,b-MasterInputs'!$F64*AY57</f>
        <v>0</v>
      </c>
      <c r="BD57" s="85">
        <f t="shared" si="89"/>
        <v>1251221.6825448466</v>
      </c>
      <c r="BE57" s="85">
        <f>-BD57*'Tables 26a,b-MasterInputs'!$I64</f>
        <v>-3891.2994327144725</v>
      </c>
      <c r="BF57" s="85">
        <f t="shared" si="90"/>
        <v>1247330.3831121321</v>
      </c>
      <c r="BG57" s="85">
        <f>-BF57*'Tables 26a,b-MasterInputs'!$J64</f>
        <v>-49893.215324485282</v>
      </c>
      <c r="BH57" s="299">
        <f t="shared" si="91"/>
        <v>1197437.1677876469</v>
      </c>
      <c r="BI57" s="107">
        <f>IFERROR(BH57/'Table 12-IUL Census'!$G20,0)</f>
        <v>27.124164018686653</v>
      </c>
      <c r="BJ57" s="88">
        <f>'Table 12-IUL Census'!$F20*(BH56/($AR56+$BH56))</f>
        <v>930.39855864773278</v>
      </c>
      <c r="BK57" s="89">
        <f>'Tables 26a,b-MasterInputs'!$H64</f>
        <v>4</v>
      </c>
      <c r="BL57" s="175">
        <f t="shared" si="77"/>
        <v>3721.5942345909311</v>
      </c>
      <c r="BO57" s="137">
        <v>9</v>
      </c>
      <c r="BP57" s="85">
        <v>0</v>
      </c>
      <c r="BQ57" s="174">
        <f>MAX(('Table 7-10-OptionBudget'!$D$45/100)*(BY56+BP57+BR57+BS57+BT57),0)</f>
        <v>118749.34180702629</v>
      </c>
      <c r="BR57" s="174">
        <f>MAX(-'Tables 26a,b-MasterInputs'!$E64*('Table 12-IUL Census'!$G19*1000/(1+('Tables 26a,b-MasterInputs'!E39))-(BY56+BP57+BS57+BT57)),-BY56-BS57)*IF(BU56=0,0,1)</f>
        <v>-151275.98550872193</v>
      </c>
      <c r="BS57" s="174">
        <f>-'Tables 26a,b-MasterInputs'!$G64*'Table 12-IUL Census'!$D19</f>
        <v>-9225.8819971951416</v>
      </c>
      <c r="BT57" s="174">
        <f>-'Tables 26a,b-MasterInputs'!$F64*BP57</f>
        <v>0</v>
      </c>
      <c r="BU57" s="85">
        <f t="shared" si="78"/>
        <v>4436945.795380556</v>
      </c>
      <c r="BV57" s="85">
        <f>-BU57*'Tables 26a,b-MasterInputs'!$I64</f>
        <v>-13798.90142363353</v>
      </c>
      <c r="BW57" s="85">
        <f t="shared" si="79"/>
        <v>4423146.8939569229</v>
      </c>
      <c r="BX57" s="85">
        <f>-BW57*'Tables 26a,b-MasterInputs'!$J64</f>
        <v>-176925.87575827693</v>
      </c>
      <c r="BY57" s="299">
        <f t="shared" si="80"/>
        <v>4246221.0181986457</v>
      </c>
      <c r="BZ57" s="107">
        <f>IFERROR(BY57/'Table 12-IUL Census'!$G20,0)</f>
        <v>96.184750612016941</v>
      </c>
      <c r="CA57" s="88">
        <f>'Table 12-IUL Census'!$F20</f>
        <v>1839.4379008367732</v>
      </c>
      <c r="CB57" s="89">
        <f>'Tables 26a,b-MasterInputs'!$H64</f>
        <v>4</v>
      </c>
      <c r="CC57" s="175">
        <f t="shared" si="81"/>
        <v>7357.7516033470929</v>
      </c>
      <c r="CD57" s="303">
        <f t="shared" ca="1" si="82"/>
        <v>0</v>
      </c>
      <c r="CE57" s="137">
        <v>9</v>
      </c>
      <c r="CF57" s="85">
        <v>0</v>
      </c>
      <c r="CG57" s="174">
        <f>MAX(('Table 7-10-OptionBudget'!$D$45/100)*(CO56+CF57+CH57+CI57+CJ57),0)</f>
        <v>38899.143123013499</v>
      </c>
      <c r="CH57" s="300">
        <f t="shared" si="102"/>
        <v>-49554.011178784589</v>
      </c>
      <c r="CI57" s="300">
        <f t="shared" si="103"/>
        <v>-3022.1548918403605</v>
      </c>
      <c r="CJ57" s="300">
        <f>-'Tables 26a,b-MasterInputs'!$F64*CF57</f>
        <v>0</v>
      </c>
      <c r="CK57" s="85">
        <f t="shared" si="83"/>
        <v>1453426.0729127596</v>
      </c>
      <c r="CL57" s="85">
        <f>-CK57*'Tables 26a,b-MasterInputs'!$I64</f>
        <v>-4520.155086758682</v>
      </c>
      <c r="CM57" s="85">
        <f t="shared" si="84"/>
        <v>1448905.9178260008</v>
      </c>
      <c r="CN57" s="85">
        <f>-CM57*'Tables 26a,b-MasterInputs'!$J64</f>
        <v>-57956.236713040038</v>
      </c>
      <c r="CO57" s="299">
        <f t="shared" si="85"/>
        <v>1390949.6811129609</v>
      </c>
      <c r="CP57" s="107">
        <f>IFERROR(CO57/'Table 12-IUL Census'!$G20,0)</f>
        <v>31.507579944218485</v>
      </c>
      <c r="CQ57" s="88">
        <f>'Table 12-IUL Census'!$F20*(CO56/(CO56+DE56+DU56))</f>
        <v>602.5511980253475</v>
      </c>
      <c r="CR57" s="89">
        <f>'Tables 26a,b-MasterInputs'!$H64</f>
        <v>4</v>
      </c>
      <c r="CS57" s="175">
        <f t="shared" si="86"/>
        <v>2410.20479210139</v>
      </c>
      <c r="CU57" s="137">
        <v>9</v>
      </c>
      <c r="CV57" s="85">
        <v>0</v>
      </c>
      <c r="CW57" s="174">
        <f>MAX(('Table 7-10-OptionBudget'!$D$45/100)*(DE56+CV57+CX57+CY57+CZ57),0)</f>
        <v>39813.135707780297</v>
      </c>
      <c r="CX57" s="300">
        <f t="shared" si="104"/>
        <v>-50718.355560860815</v>
      </c>
      <c r="CY57" s="300">
        <f t="shared" si="105"/>
        <v>-3093.1648663383489</v>
      </c>
      <c r="CZ57" s="300">
        <f>-'Tables 26a,b-MasterInputs'!$F64*CV57</f>
        <v>0</v>
      </c>
      <c r="DA57" s="85">
        <f t="shared" si="92"/>
        <v>1487576.4563530332</v>
      </c>
      <c r="DB57" s="85">
        <f>-DA57*'Tables 26a,b-MasterInputs'!$I64</f>
        <v>-4626.3627792579327</v>
      </c>
      <c r="DC57" s="85">
        <f t="shared" si="93"/>
        <v>1482950.0935737754</v>
      </c>
      <c r="DD57" s="85">
        <f>-DC57*'Tables 26a,b-MasterInputs'!$J64</f>
        <v>-59318.003742951019</v>
      </c>
      <c r="DE57" s="299">
        <f t="shared" si="94"/>
        <v>1423632.0898308244</v>
      </c>
      <c r="DF57" s="107">
        <f>IFERROR(DE57/'Table 12-IUL Census'!$G20,0)</f>
        <v>32.247896879784236</v>
      </c>
      <c r="DG57" s="88">
        <f>'Table 12-IUL Census'!$F20*(DE56/(CO56+DE56+DU56))</f>
        <v>616.70902472080741</v>
      </c>
      <c r="DH57" s="89">
        <f>'Tables 26a,b-MasterInputs'!$H64</f>
        <v>4</v>
      </c>
      <c r="DI57" s="175">
        <f t="shared" si="87"/>
        <v>2466.8360988832296</v>
      </c>
      <c r="DK57" s="137">
        <v>9</v>
      </c>
      <c r="DL57" s="85">
        <v>0</v>
      </c>
      <c r="DM57" s="174">
        <f>MAX(('Table 7-10-OptionBudget'!$D$45/100)*(DU56+DL57+DN57+DO57+DP57),0)</f>
        <v>40037.062976232461</v>
      </c>
      <c r="DN57" s="300">
        <f t="shared" si="106"/>
        <v>-51003.618769076529</v>
      </c>
      <c r="DO57" s="300">
        <f t="shared" si="107"/>
        <v>-3110.5622390164317</v>
      </c>
      <c r="DP57" s="300">
        <f>-'Tables 26a,b-MasterInputs'!$F64*DL57</f>
        <v>0</v>
      </c>
      <c r="DQ57" s="85">
        <f t="shared" si="95"/>
        <v>1495943.2661147616</v>
      </c>
      <c r="DR57" s="85">
        <f>-DQ57*'Tables 26a,b-MasterInputs'!$I64</f>
        <v>-4652.3835576169085</v>
      </c>
      <c r="DS57" s="85">
        <f t="shared" si="96"/>
        <v>1491290.8825571446</v>
      </c>
      <c r="DT57" s="85">
        <f>-DS57*'Tables 26a,b-MasterInputs'!$J64</f>
        <v>-59651.635302285787</v>
      </c>
      <c r="DU57" s="299">
        <f t="shared" si="97"/>
        <v>1431639.2472548587</v>
      </c>
      <c r="DV57" s="107">
        <f>IFERROR(DU57/'Table 12-IUL Census'!$G20,0)</f>
        <v>32.429273788014186</v>
      </c>
      <c r="DW57" s="88">
        <f>'Table 12-IUL Census'!$F20*(DU56/(CO56+DE56+DU56))</f>
        <v>620.1776780906182</v>
      </c>
      <c r="DX57" s="89">
        <f>'Tables 26a,b-MasterInputs'!$H64</f>
        <v>4</v>
      </c>
      <c r="DY57" s="175">
        <f t="shared" si="88"/>
        <v>2480.7107123624728</v>
      </c>
      <c r="EJ57" s="88"/>
      <c r="EK57" s="88"/>
      <c r="EL57" s="88"/>
      <c r="EM57" s="88"/>
      <c r="EN57" s="88"/>
      <c r="EO57" s="85"/>
      <c r="EP57" s="85"/>
      <c r="EQ57" s="85"/>
    </row>
    <row r="58" spans="1:147" x14ac:dyDescent="0.25">
      <c r="A58" s="137">
        <v>10</v>
      </c>
      <c r="B58" s="85">
        <v>0</v>
      </c>
      <c r="C58" s="174">
        <f>MAX(('Table 7-10-OptionBudget'!$D$45/100)*(K57+B58+D58+E58+F58),0)</f>
        <v>7608.5182839853278</v>
      </c>
      <c r="D58" s="174">
        <f>MAX(-'Tables 26a,b-MasterInputs'!$E65*('Table 12-IUL Census'!$G20*1000/(1+('Tables 26a,b-MasterInputs'!E40))-(K57+B58+E58+F58)),-K57-E58)*IF(G57=0,0,1)</f>
        <v>-147128.5656362522</v>
      </c>
      <c r="E58" s="174">
        <f>-'Tables 26a,b-MasterInputs'!$G65*'Table 12-IUL Census'!$D20*IF(G57=0,0,1)</f>
        <v>-8829.3019240165104</v>
      </c>
      <c r="F58" s="174">
        <f>-'Tables 26a,b-MasterInputs'!$F65*B58</f>
        <v>0</v>
      </c>
      <c r="G58" s="85">
        <f t="shared" si="64"/>
        <v>284284.38166894589</v>
      </c>
      <c r="H58" s="85">
        <f>-G58*'Tables 26a,b-MasterInputs'!$I65</f>
        <v>-980.78111675786329</v>
      </c>
      <c r="I58" s="85">
        <f t="shared" si="65"/>
        <v>283303.600552188</v>
      </c>
      <c r="J58" s="85">
        <f>-I58*'Tables 26a,b-MasterInputs'!$J65</f>
        <v>-11332.144022087521</v>
      </c>
      <c r="K58" s="299">
        <f t="shared" si="66"/>
        <v>271971.45653010049</v>
      </c>
      <c r="L58" s="107">
        <f>IFERROR(K58/'Table 12-IUL Census'!$G21,0)</f>
        <v>6.4395664371985388</v>
      </c>
      <c r="M58" s="88">
        <f>'Table 12-IUL Census'!$F21</f>
        <v>1759.7681664757311</v>
      </c>
      <c r="N58" s="89">
        <f>'Tables 26a,b-MasterInputs'!$H65</f>
        <v>2</v>
      </c>
      <c r="O58" s="175">
        <f t="shared" si="67"/>
        <v>3519.5363329514621</v>
      </c>
      <c r="R58" s="137">
        <v>10</v>
      </c>
      <c r="S58" s="85">
        <v>0</v>
      </c>
      <c r="T58" s="174">
        <f>MAX(('Table 7-10-OptionBudget'!$D$45/100)*(AB57+S58+U58+V58+W58),0)</f>
        <v>60997.252494734981</v>
      </c>
      <c r="U58" s="174">
        <f>MAX(-'Tables 26a,b-MasterInputs'!$E65*('Table 12-IUL Census'!$G20*1000/(1+('Tables 26a,b-MasterInputs'!E40))-(AB57+S58+V58+W58)),-AB57-V58)*IF(AB57&lt;=0,0,1)</f>
        <v>-140453.67480171038</v>
      </c>
      <c r="V58" s="174">
        <f>-'Tables 26a,b-MasterInputs'!$G65*'Table 12-IUL Census'!$D20</f>
        <v>-8829.3019240165104</v>
      </c>
      <c r="W58" s="174">
        <f>-'Tables 26a,b-MasterInputs'!$F65*S58</f>
        <v>0</v>
      </c>
      <c r="X58" s="85">
        <f t="shared" si="68"/>
        <v>2279098.9732480929</v>
      </c>
      <c r="Y58" s="85">
        <f>-X58*'Tables 26a,b-MasterInputs'!$I65</f>
        <v>-7862.8914577059204</v>
      </c>
      <c r="Z58" s="85">
        <f t="shared" si="69"/>
        <v>2271236.0817903872</v>
      </c>
      <c r="AA58" s="85">
        <f>-Z58*'Tables 26a,b-MasterInputs'!$J65</f>
        <v>-90849.443271615484</v>
      </c>
      <c r="AB58" s="299">
        <f t="shared" si="70"/>
        <v>2180386.6385187716</v>
      </c>
      <c r="AC58" s="107">
        <f>IFERROR(AB58/'Table 12-IUL Census'!$G21,0)</f>
        <v>51.625802195046383</v>
      </c>
      <c r="AD58" s="88">
        <f>'Table 12-IUL Census'!$F21</f>
        <v>1759.7681664757311</v>
      </c>
      <c r="AE58" s="89">
        <f>'Tables 26a,b-MasterInputs'!$H65</f>
        <v>2</v>
      </c>
      <c r="AF58" s="175">
        <f t="shared" si="71"/>
        <v>3519.5363329514621</v>
      </c>
      <c r="AG58" s="303">
        <f t="shared" ca="1" si="72"/>
        <v>0</v>
      </c>
      <c r="AH58" s="137">
        <v>10</v>
      </c>
      <c r="AI58" s="85">
        <v>0</v>
      </c>
      <c r="AJ58" s="174">
        <f>MAX(('Table 7-10-OptionBudget'!$D$45/100)*(AR57+AI58+AK58+AL58+AM58),0)</f>
        <v>30144.481777791261</v>
      </c>
      <c r="AK58" s="300">
        <f t="shared" si="98"/>
        <v>-69411.376209927315</v>
      </c>
      <c r="AL58" s="300">
        <f t="shared" si="99"/>
        <v>-4363.3888425073947</v>
      </c>
      <c r="AM58" s="300">
        <f>-'Tables 26a,b-MasterInputs'!$F65*AI58</f>
        <v>0</v>
      </c>
      <c r="AN58" s="85">
        <f t="shared" si="73"/>
        <v>1126317.2464167958</v>
      </c>
      <c r="AO58" s="85">
        <f>-AN58*'Tables 26a,b-MasterInputs'!$I65</f>
        <v>-3885.7945001379453</v>
      </c>
      <c r="AP58" s="85">
        <f t="shared" si="74"/>
        <v>1122431.4519166579</v>
      </c>
      <c r="AQ58" s="85">
        <f>-AP58*'Tables 26a,b-MasterInputs'!$J65</f>
        <v>-44897.258076666316</v>
      </c>
      <c r="AR58" s="299">
        <f t="shared" si="75"/>
        <v>1077534.1938399915</v>
      </c>
      <c r="AS58" s="107">
        <f>IFERROR(AR58/'Table 12-IUL Census'!$G21,0)</f>
        <v>25.51316641133565</v>
      </c>
      <c r="AT58" s="88">
        <f>'Table 12-IUL Census'!$F21*(AR57/($AR57+$BH57))</f>
        <v>869.66703020014893</v>
      </c>
      <c r="AU58" s="89">
        <f>'Tables 26a,b-MasterInputs'!$H65</f>
        <v>2</v>
      </c>
      <c r="AV58" s="175">
        <f t="shared" si="76"/>
        <v>1739.3340604002979</v>
      </c>
      <c r="AW58" s="120"/>
      <c r="AX58" s="137">
        <v>10</v>
      </c>
      <c r="AY58" s="85">
        <v>0</v>
      </c>
      <c r="AZ58" s="174">
        <f>MAX(('Table 7-10-OptionBudget'!$D$45/100)*(BH57+AY58+BA58+BB58+BC58),0)</f>
        <v>30852.770716943742</v>
      </c>
      <c r="BA58" s="300">
        <f t="shared" si="100"/>
        <v>-71042.298591783067</v>
      </c>
      <c r="BB58" s="300">
        <f t="shared" si="101"/>
        <v>-4465.9130815091157</v>
      </c>
      <c r="BC58" s="300">
        <f>-'Tables 26a,b-MasterInputs'!$F65*AY58</f>
        <v>0</v>
      </c>
      <c r="BD58" s="85">
        <f t="shared" si="89"/>
        <v>1152781.7268312983</v>
      </c>
      <c r="BE58" s="85">
        <f>-BD58*'Tables 26a,b-MasterInputs'!$I65</f>
        <v>-3977.0969575679792</v>
      </c>
      <c r="BF58" s="85">
        <f t="shared" si="90"/>
        <v>1148804.6298737302</v>
      </c>
      <c r="BG58" s="85">
        <f>-BF58*'Tables 26a,b-MasterInputs'!$J65</f>
        <v>-45952.185194949212</v>
      </c>
      <c r="BH58" s="299">
        <f t="shared" si="91"/>
        <v>1102852.4446787811</v>
      </c>
      <c r="BI58" s="107">
        <f>IFERROR(BH58/'Table 12-IUL Census'!$G21,0)</f>
        <v>26.112635783710758</v>
      </c>
      <c r="BJ58" s="88">
        <f>'Table 12-IUL Census'!$F21*(BH57/($AR57+$BH57))</f>
        <v>890.10113627558201</v>
      </c>
      <c r="BK58" s="89">
        <f>'Tables 26a,b-MasterInputs'!$H65</f>
        <v>2</v>
      </c>
      <c r="BL58" s="175">
        <f t="shared" si="77"/>
        <v>1780.202272551164</v>
      </c>
      <c r="BO58" s="137">
        <v>10</v>
      </c>
      <c r="BP58" s="85">
        <v>0</v>
      </c>
      <c r="BQ58" s="174">
        <f>MAX(('Table 7-10-OptionBudget'!$D$45/100)*(BY57+BP58+BR58+BS58+BT58),0)</f>
        <v>112843.04282510727</v>
      </c>
      <c r="BR58" s="174">
        <f>MAX(-'Tables 26a,b-MasterInputs'!$E65*('Table 12-IUL Census'!$G20*1000/(1+('Tables 26a,b-MasterInputs'!E40))-(BY57+BP58+BS58+BT58)),-BY57-BS58)*IF(BU57=0,0,1)</f>
        <v>-133971.68949522791</v>
      </c>
      <c r="BS58" s="174">
        <f>-'Tables 26a,b-MasterInputs'!$G65*'Table 12-IUL Census'!$D20</f>
        <v>-8829.3019240165104</v>
      </c>
      <c r="BT58" s="174">
        <f>-'Tables 26a,b-MasterInputs'!$F65*BP58</f>
        <v>0</v>
      </c>
      <c r="BU58" s="85">
        <f t="shared" si="78"/>
        <v>4216263.0696045086</v>
      </c>
      <c r="BV58" s="85">
        <f>-BU58*'Tables 26a,b-MasterInputs'!$I65</f>
        <v>-14546.107590135554</v>
      </c>
      <c r="BW58" s="85">
        <f t="shared" si="79"/>
        <v>4201716.9620143734</v>
      </c>
      <c r="BX58" s="85">
        <f>-BW58*'Tables 26a,b-MasterInputs'!$J65</f>
        <v>-168068.67848057495</v>
      </c>
      <c r="BY58" s="299">
        <f t="shared" si="80"/>
        <v>4033648.2835337985</v>
      </c>
      <c r="BZ58" s="107">
        <f>IFERROR(BY58/'Table 12-IUL Census'!$G21,0)</f>
        <v>95.506147731473291</v>
      </c>
      <c r="CA58" s="88">
        <f>'Table 12-IUL Census'!$F21</f>
        <v>1759.7681664757311</v>
      </c>
      <c r="CB58" s="89">
        <f>'Tables 26a,b-MasterInputs'!$H65</f>
        <v>2</v>
      </c>
      <c r="CC58" s="175">
        <f t="shared" si="81"/>
        <v>3519.5363329514621</v>
      </c>
      <c r="CD58" s="303">
        <f t="shared" ca="1" si="82"/>
        <v>0</v>
      </c>
      <c r="CE58" s="137">
        <v>10</v>
      </c>
      <c r="CF58" s="85">
        <v>0</v>
      </c>
      <c r="CG58" s="174">
        <f>MAX(('Table 7-10-OptionBudget'!$D$45/100)*(CO57+CF58+CH58+CI58+CJ58),0)</f>
        <v>36964.395814701398</v>
      </c>
      <c r="CH58" s="300">
        <f t="shared" si="102"/>
        <v>-43885.58155190081</v>
      </c>
      <c r="CI58" s="300">
        <f t="shared" si="103"/>
        <v>-2892.245750521668</v>
      </c>
      <c r="CJ58" s="300">
        <f>-'Tables 26a,b-MasterInputs'!$F65*CF58</f>
        <v>0</v>
      </c>
      <c r="CK58" s="85">
        <f t="shared" si="83"/>
        <v>1381136.2496252398</v>
      </c>
      <c r="CL58" s="85">
        <f>-CK58*'Tables 26a,b-MasterInputs'!$I65</f>
        <v>-4764.9200612070772</v>
      </c>
      <c r="CM58" s="85">
        <f t="shared" si="84"/>
        <v>1376371.3295640326</v>
      </c>
      <c r="CN58" s="85">
        <f>-CM58*'Tables 26a,b-MasterInputs'!$J65</f>
        <v>-55054.853182561303</v>
      </c>
      <c r="CO58" s="299">
        <f t="shared" si="85"/>
        <v>1321316.4763814714</v>
      </c>
      <c r="CP58" s="107">
        <f>IFERROR(CO58/'Table 12-IUL Census'!$G21,0)</f>
        <v>31.285287591500825</v>
      </c>
      <c r="CQ58" s="88">
        <f>'Table 12-IUL Census'!$F21*(CO57/(CO57+DE57+DU57))</f>
        <v>576.45350053647371</v>
      </c>
      <c r="CR58" s="89">
        <f>'Tables 26a,b-MasterInputs'!$H65</f>
        <v>2</v>
      </c>
      <c r="CS58" s="175">
        <f t="shared" si="86"/>
        <v>1152.9070010729474</v>
      </c>
      <c r="CU58" s="137">
        <v>10</v>
      </c>
      <c r="CV58" s="85">
        <v>0</v>
      </c>
      <c r="CW58" s="174">
        <f>MAX(('Table 7-10-OptionBudget'!$D$45/100)*(DE57+CV58+CX58+CY58+CZ58),0)</f>
        <v>37832.928665622581</v>
      </c>
      <c r="CX58" s="300">
        <f t="shared" si="104"/>
        <v>-44916.73784215044</v>
      </c>
      <c r="CY58" s="300">
        <f t="shared" si="105"/>
        <v>-2960.203318659876</v>
      </c>
      <c r="CZ58" s="300">
        <f>-'Tables 26a,b-MasterInputs'!$F65*CV58</f>
        <v>0</v>
      </c>
      <c r="DA58" s="85">
        <f t="shared" si="92"/>
        <v>1413588.0773356366</v>
      </c>
      <c r="DB58" s="85">
        <f>-DA58*'Tables 26a,b-MasterInputs'!$I65</f>
        <v>-4876.878866807946</v>
      </c>
      <c r="DC58" s="85">
        <f t="shared" si="93"/>
        <v>1408711.1984688286</v>
      </c>
      <c r="DD58" s="85">
        <f>-DC58*'Tables 26a,b-MasterInputs'!$J65</f>
        <v>-56348.447938753146</v>
      </c>
      <c r="DE58" s="299">
        <f t="shared" si="94"/>
        <v>1352362.7505300755</v>
      </c>
      <c r="DF58" s="107">
        <f>IFERROR(DE58/'Table 12-IUL Census'!$G21,0)</f>
        <v>32.020381441267702</v>
      </c>
      <c r="DG58" s="88">
        <f>'Table 12-IUL Census'!$F21*(DE57/(CO57+DE57+DU57))</f>
        <v>589.9981234421</v>
      </c>
      <c r="DH58" s="89">
        <f>'Tables 26a,b-MasterInputs'!$H65</f>
        <v>2</v>
      </c>
      <c r="DI58" s="175">
        <f t="shared" si="87"/>
        <v>1179.9962468842</v>
      </c>
      <c r="DK58" s="137">
        <v>10</v>
      </c>
      <c r="DL58" s="85">
        <v>0</v>
      </c>
      <c r="DM58" s="174">
        <f>MAX(('Table 7-10-OptionBudget'!$D$45/100)*(DU57+DL58+DN58+DO58+DP58),0)</f>
        <v>38045.718344783236</v>
      </c>
      <c r="DN58" s="300">
        <f t="shared" si="106"/>
        <v>-45169.370101176668</v>
      </c>
      <c r="DO58" s="300">
        <f t="shared" si="107"/>
        <v>-2976.8528548349673</v>
      </c>
      <c r="DP58" s="300">
        <f>-'Tables 26a,b-MasterInputs'!$F65*DL58</f>
        <v>0</v>
      </c>
      <c r="DQ58" s="85">
        <f t="shared" si="95"/>
        <v>1421538.7426436304</v>
      </c>
      <c r="DR58" s="85">
        <f>-DQ58*'Tables 26a,b-MasterInputs'!$I65</f>
        <v>-4904.3086621205248</v>
      </c>
      <c r="DS58" s="85">
        <f t="shared" si="96"/>
        <v>1416634.4339815099</v>
      </c>
      <c r="DT58" s="85">
        <f>-DS58*'Tables 26a,b-MasterInputs'!$J65</f>
        <v>-56665.377359260397</v>
      </c>
      <c r="DU58" s="299">
        <f t="shared" si="97"/>
        <v>1359969.0566222495</v>
      </c>
      <c r="DV58" s="107">
        <f>IFERROR(DU58/'Table 12-IUL Census'!$G21,0)</f>
        <v>32.200478698704721</v>
      </c>
      <c r="DW58" s="88">
        <f>'Table 12-IUL Census'!$F21*(DU57/(CO57+DE57+DU57))</f>
        <v>593.31654249715746</v>
      </c>
      <c r="DX58" s="89">
        <f>'Tables 26a,b-MasterInputs'!$H65</f>
        <v>2</v>
      </c>
      <c r="DY58" s="175">
        <f t="shared" si="88"/>
        <v>1186.6330849943149</v>
      </c>
      <c r="EJ58" s="88"/>
      <c r="EK58" s="88"/>
      <c r="EL58" s="88"/>
      <c r="EM58" s="88"/>
      <c r="EN58" s="88"/>
      <c r="EO58" s="85"/>
      <c r="EP58" s="85"/>
      <c r="EQ58" s="85"/>
    </row>
    <row r="59" spans="1:147" x14ac:dyDescent="0.25">
      <c r="A59" s="137">
        <v>11</v>
      </c>
      <c r="B59" s="85">
        <v>0</v>
      </c>
      <c r="C59" s="174">
        <f>MAX(('Table 7-10-OptionBudget'!$D$45/100)*(K58+B59+D59+E59+F59),0)</f>
        <v>3284.9524348080245</v>
      </c>
      <c r="D59" s="174">
        <f>MAX(-'Tables 26a,b-MasterInputs'!$E66*('Table 12-IUL Census'!$G21*1000/(1+('Tables 26a,b-MasterInputs'!E41))-(K58+B59+E59+F59)),-K58-E59)*IF(G58=0,0,1)</f>
        <v>-144070.68657015756</v>
      </c>
      <c r="E59" s="174">
        <f>-'Tables 26a,b-MasterInputs'!$G66*'Table 12-IUL Census'!$D21*IF(G58=0,0,1)</f>
        <v>-8446.8871990835069</v>
      </c>
      <c r="F59" s="174">
        <f>-'Tables 26a,b-MasterInputs'!$F66*B59</f>
        <v>0</v>
      </c>
      <c r="G59" s="85">
        <f t="shared" si="64"/>
        <v>122738.83519566743</v>
      </c>
      <c r="H59" s="85">
        <f>-G59*'Tables 26a,b-MasterInputs'!$I66</f>
        <v>-479.9088456150597</v>
      </c>
      <c r="I59" s="85">
        <f t="shared" si="65"/>
        <v>122258.92635005237</v>
      </c>
      <c r="J59" s="85">
        <f>-I59*'Tables 26a,b-MasterInputs'!$J66</f>
        <v>-4890.3570540020946</v>
      </c>
      <c r="K59" s="299">
        <f t="shared" si="66"/>
        <v>117368.56929605028</v>
      </c>
      <c r="L59" s="107">
        <f>IFERROR(K59/'Table 12-IUL Census'!$G22,0)</f>
        <v>2.9061317454075799</v>
      </c>
      <c r="M59" s="88">
        <f>'Table 12-IUL Census'!$F22</f>
        <v>1682.7719740270184</v>
      </c>
      <c r="N59" s="89">
        <f>'Tables 26a,b-MasterInputs'!$H66</f>
        <v>0</v>
      </c>
      <c r="O59" s="175">
        <f t="shared" si="67"/>
        <v>0</v>
      </c>
      <c r="R59" s="137">
        <v>11</v>
      </c>
      <c r="S59" s="85">
        <v>0</v>
      </c>
      <c r="T59" s="174">
        <f>MAX(('Table 7-10-OptionBudget'!$D$45/100)*(AB58+S59+U59+V59+W59),0)</f>
        <v>55950.581639570599</v>
      </c>
      <c r="U59" s="174">
        <f>MAX(-'Tables 26a,b-MasterInputs'!$E66*('Table 12-IUL Census'!$G21*1000/(1+('Tables 26a,b-MasterInputs'!E41))-(AB58+S59+V59+W59)),-AB58-V59)*IF(AB58&lt;=0,0,1)</f>
        <v>-137354.97354473945</v>
      </c>
      <c r="V59" s="174">
        <f>-'Tables 26a,b-MasterInputs'!$G66*'Table 12-IUL Census'!$D21</f>
        <v>-8446.8871990835069</v>
      </c>
      <c r="W59" s="174">
        <f>-'Tables 26a,b-MasterInputs'!$F66*S59</f>
        <v>0</v>
      </c>
      <c r="X59" s="85">
        <f t="shared" si="68"/>
        <v>2090535.3594145193</v>
      </c>
      <c r="Y59" s="85">
        <f>-X59*'Tables 26a,b-MasterInputs'!$I66</f>
        <v>-8173.993255310771</v>
      </c>
      <c r="Z59" s="85">
        <f t="shared" si="69"/>
        <v>2082361.3661592086</v>
      </c>
      <c r="AA59" s="85">
        <f>-Z59*'Tables 26a,b-MasterInputs'!$J66</f>
        <v>-83294.454646368351</v>
      </c>
      <c r="AB59" s="299">
        <f t="shared" si="70"/>
        <v>1999066.9115128403</v>
      </c>
      <c r="AC59" s="107">
        <f>IFERROR(AB59/'Table 12-IUL Census'!$G22,0)</f>
        <v>49.498360997204863</v>
      </c>
      <c r="AD59" s="88">
        <f>'Table 12-IUL Census'!$F22</f>
        <v>1682.7719740270184</v>
      </c>
      <c r="AE59" s="89">
        <f>'Tables 26a,b-MasterInputs'!$H66</f>
        <v>0</v>
      </c>
      <c r="AF59" s="175">
        <f t="shared" si="71"/>
        <v>0</v>
      </c>
      <c r="AG59" s="303">
        <f t="shared" ca="1" si="72"/>
        <v>0</v>
      </c>
      <c r="AH59" s="137">
        <v>11</v>
      </c>
      <c r="AI59" s="85">
        <v>0</v>
      </c>
      <c r="AJ59" s="174">
        <f>MAX(('Table 7-10-OptionBudget'!$D$45/100)*(AR58+AI59+AK59+AL59+AM59),0)</f>
        <v>27650.446859658783</v>
      </c>
      <c r="AK59" s="300">
        <f t="shared" si="98"/>
        <v>-67880.016357552959</v>
      </c>
      <c r="AL59" s="300">
        <f t="shared" si="99"/>
        <v>-4174.4017449607145</v>
      </c>
      <c r="AM59" s="300">
        <f>-'Tables 26a,b-MasterInputs'!$F66*AI59</f>
        <v>0</v>
      </c>
      <c r="AN59" s="85">
        <f t="shared" si="73"/>
        <v>1033130.2225971366</v>
      </c>
      <c r="AO59" s="85">
        <f>-AN59*'Tables 26a,b-MasterInputs'!$I66</f>
        <v>-4039.5391703548044</v>
      </c>
      <c r="AP59" s="85">
        <f t="shared" si="74"/>
        <v>1029090.6834267818</v>
      </c>
      <c r="AQ59" s="85">
        <f>-AP59*'Tables 26a,b-MasterInputs'!$J66</f>
        <v>-41163.627337071273</v>
      </c>
      <c r="AR59" s="299">
        <f t="shared" si="75"/>
        <v>987927.05608971056</v>
      </c>
      <c r="AS59" s="107">
        <f>IFERROR(AR59/'Table 12-IUL Census'!$G22,0)</f>
        <v>24.461797541447751</v>
      </c>
      <c r="AT59" s="88">
        <f>'Table 12-IUL Census'!$F22*(AR58/($AR58+$BH58))</f>
        <v>831.61596682758375</v>
      </c>
      <c r="AU59" s="89">
        <f>'Tables 26a,b-MasterInputs'!$H66</f>
        <v>0</v>
      </c>
      <c r="AV59" s="175">
        <f t="shared" si="76"/>
        <v>0</v>
      </c>
      <c r="AW59" s="120"/>
      <c r="AX59" s="137">
        <v>11</v>
      </c>
      <c r="AY59" s="85">
        <v>0</v>
      </c>
      <c r="AZ59" s="174">
        <f>MAX(('Table 7-10-OptionBudget'!$D$45/100)*(BH58+AY59+BA59+BB59+BC59),0)</f>
        <v>28300.134779911845</v>
      </c>
      <c r="BA59" s="300">
        <f t="shared" si="100"/>
        <v>-69474.95718718649</v>
      </c>
      <c r="BB59" s="300">
        <f t="shared" si="101"/>
        <v>-4272.4854541227924</v>
      </c>
      <c r="BC59" s="300">
        <f>-'Tables 26a,b-MasterInputs'!$F66*AY59</f>
        <v>0</v>
      </c>
      <c r="BD59" s="85">
        <f t="shared" si="89"/>
        <v>1057405.1368173836</v>
      </c>
      <c r="BE59" s="85">
        <f>-BD59*'Tables 26a,b-MasterInputs'!$I66</f>
        <v>-4134.4540849559698</v>
      </c>
      <c r="BF59" s="85">
        <f t="shared" si="90"/>
        <v>1053270.6827324277</v>
      </c>
      <c r="BG59" s="85">
        <f>-BF59*'Tables 26a,b-MasterInputs'!$J66</f>
        <v>-42130.827309297107</v>
      </c>
      <c r="BH59" s="299">
        <f t="shared" si="91"/>
        <v>1011139.8554231306</v>
      </c>
      <c r="BI59" s="107">
        <f>IFERROR(BH59/'Table 12-IUL Census'!$G22,0)</f>
        <v>25.036563455757129</v>
      </c>
      <c r="BJ59" s="88">
        <f>'Table 12-IUL Census'!$F22*(BH58/($AR58+$BH58))</f>
        <v>851.15600719943461</v>
      </c>
      <c r="BK59" s="89">
        <f>'Tables 26a,b-MasterInputs'!$H66</f>
        <v>0</v>
      </c>
      <c r="BL59" s="175">
        <f t="shared" si="77"/>
        <v>0</v>
      </c>
      <c r="BO59" s="137">
        <v>11</v>
      </c>
      <c r="BP59" s="85">
        <v>0</v>
      </c>
      <c r="BQ59" s="174">
        <f>MAX(('Table 7-10-OptionBudget'!$D$45/100)*(BY58+BP59+BR59+BS59+BT59),0)</f>
        <v>107094.16482677936</v>
      </c>
      <c r="BR59" s="174">
        <f>MAX(-'Tables 26a,b-MasterInputs'!$E66*('Table 12-IUL Census'!$G21*1000/(1+('Tables 26a,b-MasterInputs'!E41))-(BY58+BP59+BS59+BT59)),-BY58-BS59)*IF(BU58=0,0,1)</f>
        <v>-130833.34581593156</v>
      </c>
      <c r="BS59" s="174">
        <f>-'Tables 26a,b-MasterInputs'!$G66*'Table 12-IUL Census'!$D21</f>
        <v>-8446.8871990835069</v>
      </c>
      <c r="BT59" s="174">
        <f>-'Tables 26a,b-MasterInputs'!$F66*BP59</f>
        <v>0</v>
      </c>
      <c r="BU59" s="85">
        <f t="shared" si="78"/>
        <v>4001462.2153455629</v>
      </c>
      <c r="BV59" s="85">
        <f>-BU59*'Tables 26a,b-MasterInputs'!$I66</f>
        <v>-15645.717262001152</v>
      </c>
      <c r="BW59" s="85">
        <f t="shared" si="79"/>
        <v>3985816.4980835617</v>
      </c>
      <c r="BX59" s="85">
        <f>-BW59*'Tables 26a,b-MasterInputs'!$J66</f>
        <v>-159432.65992334246</v>
      </c>
      <c r="BY59" s="299">
        <f t="shared" si="80"/>
        <v>3826383.8381602191</v>
      </c>
      <c r="BZ59" s="107">
        <f>IFERROR(BY59/'Table 12-IUL Census'!$G22,0)</f>
        <v>94.744066566432323</v>
      </c>
      <c r="CA59" s="88">
        <f>'Table 12-IUL Census'!$F22</f>
        <v>1682.7719740270184</v>
      </c>
      <c r="CB59" s="89">
        <f>'Tables 26a,b-MasterInputs'!$H66</f>
        <v>0</v>
      </c>
      <c r="CC59" s="175">
        <f t="shared" si="81"/>
        <v>0</v>
      </c>
      <c r="CD59" s="303">
        <f t="shared" ca="1" si="82"/>
        <v>0</v>
      </c>
      <c r="CE59" s="137">
        <v>11</v>
      </c>
      <c r="CF59" s="85">
        <v>0</v>
      </c>
      <c r="CG59" s="174">
        <f>MAX(('Table 7-10-OptionBudget'!$D$45/100)*(CO58+CF59+CH59+CI59+CJ59),0)</f>
        <v>35081.21545638745</v>
      </c>
      <c r="CH59" s="300">
        <f t="shared" si="102"/>
        <v>-42857.543180551031</v>
      </c>
      <c r="CI59" s="300">
        <f t="shared" si="103"/>
        <v>-2766.9768025750732</v>
      </c>
      <c r="CJ59" s="300">
        <f>-'Tables 26a,b-MasterInputs'!$F66*CF59</f>
        <v>0</v>
      </c>
      <c r="CK59" s="85">
        <f t="shared" si="83"/>
        <v>1310773.1718547328</v>
      </c>
      <c r="CL59" s="85">
        <f>-CK59*'Tables 26a,b-MasterInputs'!$I66</f>
        <v>-5125.1231019520055</v>
      </c>
      <c r="CM59" s="85">
        <f t="shared" si="84"/>
        <v>1305648.0487527808</v>
      </c>
      <c r="CN59" s="85">
        <f>-CM59*'Tables 26a,b-MasterInputs'!$J66</f>
        <v>-52225.921950111231</v>
      </c>
      <c r="CO59" s="299">
        <f t="shared" si="85"/>
        <v>1253422.1268026696</v>
      </c>
      <c r="CP59" s="107">
        <f>IFERROR(CO59/'Table 12-IUL Census'!$G22,0)</f>
        <v>31.035649961016485</v>
      </c>
      <c r="CQ59" s="88">
        <f>'Table 12-IUL Census'!$F22*(CO58/(CO58+DE58+DU58))</f>
        <v>551.23158465540098</v>
      </c>
      <c r="CR59" s="89">
        <f>'Tables 26a,b-MasterInputs'!$H66</f>
        <v>0</v>
      </c>
      <c r="CS59" s="175">
        <f t="shared" si="86"/>
        <v>0</v>
      </c>
      <c r="CU59" s="137">
        <v>11</v>
      </c>
      <c r="CV59" s="85">
        <v>0</v>
      </c>
      <c r="CW59" s="174">
        <f>MAX(('Table 7-10-OptionBudget'!$D$45/100)*(DE58+CV59+CX59+CY59+CZ59),0)</f>
        <v>35905.500214803506</v>
      </c>
      <c r="CX59" s="300">
        <f t="shared" si="104"/>
        <v>-43864.544197115123</v>
      </c>
      <c r="CY59" s="300">
        <f t="shared" si="105"/>
        <v>-2831.9909925220791</v>
      </c>
      <c r="CZ59" s="300">
        <f>-'Tables 26a,b-MasterInputs'!$F66*CV59</f>
        <v>0</v>
      </c>
      <c r="DA59" s="85">
        <f t="shared" si="92"/>
        <v>1341571.7155552418</v>
      </c>
      <c r="DB59" s="85">
        <f>-DA59*'Tables 26a,b-MasterInputs'!$I66</f>
        <v>-5245.5454078209959</v>
      </c>
      <c r="DC59" s="85">
        <f t="shared" si="93"/>
        <v>1336326.1701474208</v>
      </c>
      <c r="DD59" s="85">
        <f>-DC59*'Tables 26a,b-MasterInputs'!$J66</f>
        <v>-53453.046805896833</v>
      </c>
      <c r="DE59" s="299">
        <f t="shared" si="94"/>
        <v>1282873.123341524</v>
      </c>
      <c r="DF59" s="107">
        <f>IFERROR(DE59/'Table 12-IUL Census'!$G22,0)</f>
        <v>31.764878207460942</v>
      </c>
      <c r="DG59" s="88">
        <f>'Table 12-IUL Census'!$F22*(DE58/(CO58+DE58+DU58))</f>
        <v>564.18358154826365</v>
      </c>
      <c r="DH59" s="89">
        <f>'Tables 26a,b-MasterInputs'!$H66</f>
        <v>0</v>
      </c>
      <c r="DI59" s="175">
        <f t="shared" si="87"/>
        <v>0</v>
      </c>
      <c r="DK59" s="137">
        <v>11</v>
      </c>
      <c r="DL59" s="85">
        <v>0</v>
      </c>
      <c r="DM59" s="174">
        <f>MAX(('Table 7-10-OptionBudget'!$D$45/100)*(DU58+DL59+DN59+DO59+DP59),0)</f>
        <v>36107.449155588343</v>
      </c>
      <c r="DN59" s="300">
        <f t="shared" si="106"/>
        <v>-44111.258438265417</v>
      </c>
      <c r="DO59" s="300">
        <f t="shared" si="107"/>
        <v>-2847.9194039863551</v>
      </c>
      <c r="DP59" s="300">
        <f>-'Tables 26a,b-MasterInputs'!$F66*DL59</f>
        <v>0</v>
      </c>
      <c r="DQ59" s="85">
        <f t="shared" si="95"/>
        <v>1349117.3279355862</v>
      </c>
      <c r="DR59" s="85">
        <f>-DQ59*'Tables 26a,b-MasterInputs'!$I66</f>
        <v>-5275.0487522281428</v>
      </c>
      <c r="DS59" s="85">
        <f t="shared" si="96"/>
        <v>1343842.2791833582</v>
      </c>
      <c r="DT59" s="85">
        <f>-DS59*'Tables 26a,b-MasterInputs'!$J66</f>
        <v>-53753.691167334327</v>
      </c>
      <c r="DU59" s="299">
        <f t="shared" si="97"/>
        <v>1290088.5880160239</v>
      </c>
      <c r="DV59" s="107">
        <f>IFERROR(DU59/'Table 12-IUL Census'!$G22,0)</f>
        <v>31.94353839795486</v>
      </c>
      <c r="DW59" s="88">
        <f>'Table 12-IUL Census'!$F22*(DU58/(CO58+DE58+DU58))</f>
        <v>567.35680782335373</v>
      </c>
      <c r="DX59" s="89">
        <f>'Tables 26a,b-MasterInputs'!$H66</f>
        <v>0</v>
      </c>
      <c r="DY59" s="175">
        <f t="shared" si="88"/>
        <v>0</v>
      </c>
      <c r="EJ59" s="88"/>
      <c r="EK59" s="88"/>
      <c r="EL59" s="88"/>
      <c r="EM59" s="88"/>
      <c r="EN59" s="88"/>
      <c r="EO59" s="85"/>
      <c r="EP59" s="85"/>
      <c r="EQ59" s="85"/>
    </row>
    <row r="60" spans="1:147" x14ac:dyDescent="0.25">
      <c r="A60" s="137">
        <v>12</v>
      </c>
      <c r="B60" s="85">
        <v>0</v>
      </c>
      <c r="C60" s="174">
        <f>MAX(('Table 7-10-OptionBudget'!$D$45/100)*(K59+B60+D60+E60+F60),0)</f>
        <v>5.002176180434578E-14</v>
      </c>
      <c r="D60" s="174">
        <f>MAX(-'Tables 26a,b-MasterInputs'!$E67*('Table 12-IUL Census'!$G22*1000/(1+('Tables 26a,b-MasterInputs'!E42))-(K59+B60+E60+F60)),-K59-E60)*IF(G59=0,0,1)</f>
        <v>-109291.26382072059</v>
      </c>
      <c r="E60" s="174">
        <f>-'Tables 26a,b-MasterInputs'!$G67*'Table 12-IUL Census'!$D22*IF(G59=0,0,1)</f>
        <v>-8077.3054753296874</v>
      </c>
      <c r="F60" s="174">
        <f>-'Tables 26a,b-MasterInputs'!$F67*B60</f>
        <v>0</v>
      </c>
      <c r="G60" s="85">
        <f t="shared" si="64"/>
        <v>0</v>
      </c>
      <c r="H60" s="85">
        <f>-G60*'Tables 26a,b-MasterInputs'!$I67</f>
        <v>0</v>
      </c>
      <c r="I60" s="85">
        <f t="shared" si="65"/>
        <v>0</v>
      </c>
      <c r="J60" s="85">
        <f>-I60*'Tables 26a,b-MasterInputs'!$J67</f>
        <v>0</v>
      </c>
      <c r="K60" s="299">
        <f t="shared" si="66"/>
        <v>0</v>
      </c>
      <c r="L60" s="107">
        <f>IFERROR(K60/'Table 12-IUL Census'!$G23,0)</f>
        <v>0</v>
      </c>
      <c r="M60" s="88">
        <f>'Table 12-IUL Census'!$F23</f>
        <v>1608.0461286395848</v>
      </c>
      <c r="N60" s="89">
        <f>'Tables 26a,b-MasterInputs'!$H67</f>
        <v>0</v>
      </c>
      <c r="O60" s="175">
        <f t="shared" si="67"/>
        <v>0</v>
      </c>
      <c r="R60" s="137">
        <v>12</v>
      </c>
      <c r="S60" s="85">
        <v>0</v>
      </c>
      <c r="T60" s="174">
        <f>MAX(('Table 7-10-OptionBudget'!$D$45/100)*(AB59+S60+U60+V60+W60),0)</f>
        <v>50501.836699807143</v>
      </c>
      <c r="U60" s="174">
        <f>MAX(-'Tables 26a,b-MasterInputs'!$E67*('Table 12-IUL Census'!$G22*1000/(1+('Tables 26a,b-MasterInputs'!E42))-(AB59+S60+V60+W60)),-AB59-V60)*IF(AB59&lt;=0,0,1)</f>
        <v>-154542.77763788309</v>
      </c>
      <c r="V60" s="174">
        <f>-'Tables 26a,b-MasterInputs'!$G67*'Table 12-IUL Census'!$D22</f>
        <v>-8077.3054753296874</v>
      </c>
      <c r="W60" s="174">
        <f>-'Tables 26a,b-MasterInputs'!$F67*S60</f>
        <v>0</v>
      </c>
      <c r="X60" s="85">
        <f t="shared" si="68"/>
        <v>1886948.6650994346</v>
      </c>
      <c r="Y60" s="85">
        <f>-X60*'Tables 26a,b-MasterInputs'!$I67</f>
        <v>-8661.0943728064049</v>
      </c>
      <c r="Z60" s="85">
        <f t="shared" si="69"/>
        <v>1878287.5707266282</v>
      </c>
      <c r="AA60" s="85">
        <f>-Z60*'Tables 26a,b-MasterInputs'!$J67</f>
        <v>-75131.502829065124</v>
      </c>
      <c r="AB60" s="299">
        <f t="shared" si="70"/>
        <v>1803156.0678975631</v>
      </c>
      <c r="AC60" s="107">
        <f>IFERROR(AB60/'Table 12-IUL Census'!$G23,0)</f>
        <v>46.72223109210605</v>
      </c>
      <c r="AD60" s="88">
        <f>'Table 12-IUL Census'!$F23</f>
        <v>1608.0461286395848</v>
      </c>
      <c r="AE60" s="89">
        <f>'Tables 26a,b-MasterInputs'!$H67</f>
        <v>0</v>
      </c>
      <c r="AF60" s="175">
        <f t="shared" si="71"/>
        <v>0</v>
      </c>
      <c r="AG60" s="303">
        <f t="shared" ca="1" si="72"/>
        <v>0</v>
      </c>
      <c r="AH60" s="137">
        <v>12</v>
      </c>
      <c r="AI60" s="85">
        <v>0</v>
      </c>
      <c r="AJ60" s="174">
        <f>MAX(('Table 7-10-OptionBudget'!$D$45/100)*(AR59+AI60+AK60+AL60+AM60),0)</f>
        <v>24957.709304590884</v>
      </c>
      <c r="AK60" s="300">
        <f t="shared" si="98"/>
        <v>-76374.127585443697</v>
      </c>
      <c r="AL60" s="300">
        <f t="shared" si="99"/>
        <v>-3991.7566407724021</v>
      </c>
      <c r="AM60" s="300">
        <f>-'Tables 26a,b-MasterInputs'!$F67*AI60</f>
        <v>0</v>
      </c>
      <c r="AN60" s="85">
        <f t="shared" si="73"/>
        <v>932518.88116808538</v>
      </c>
      <c r="AO60" s="85">
        <f>-AN60*'Tables 26a,b-MasterInputs'!$I67</f>
        <v>-4280.2616645615126</v>
      </c>
      <c r="AP60" s="85">
        <f t="shared" si="74"/>
        <v>928238.61950352392</v>
      </c>
      <c r="AQ60" s="85">
        <f>-AP60*'Tables 26a,b-MasterInputs'!$J67</f>
        <v>-37129.544780140961</v>
      </c>
      <c r="AR60" s="299">
        <f t="shared" si="75"/>
        <v>891109.07472338295</v>
      </c>
      <c r="AS60" s="107">
        <f>IFERROR(AR60/'Table 12-IUL Census'!$G23,0)</f>
        <v>23.08985054524074</v>
      </c>
      <c r="AT60" s="88">
        <f>'Table 12-IUL Census'!$F23*(AR59/($AR59+$BH59))</f>
        <v>794.68689555825131</v>
      </c>
      <c r="AU60" s="89">
        <f>'Tables 26a,b-MasterInputs'!$H67</f>
        <v>0</v>
      </c>
      <c r="AV60" s="175">
        <f t="shared" si="76"/>
        <v>0</v>
      </c>
      <c r="AW60" s="120"/>
      <c r="AX60" s="137">
        <v>12</v>
      </c>
      <c r="AY60" s="85">
        <v>0</v>
      </c>
      <c r="AZ60" s="174">
        <f>MAX(('Table 7-10-OptionBudget'!$D$45/100)*(BH59+AY60+BA60+BB60+BC60),0)</f>
        <v>25544.127395216281</v>
      </c>
      <c r="BA60" s="300">
        <f t="shared" si="100"/>
        <v>-78168.650052439407</v>
      </c>
      <c r="BB60" s="300">
        <f t="shared" si="101"/>
        <v>-4085.5488345572858</v>
      </c>
      <c r="BC60" s="300">
        <f>-'Tables 26a,b-MasterInputs'!$F67*AY60</f>
        <v>0</v>
      </c>
      <c r="BD60" s="85">
        <f t="shared" si="89"/>
        <v>954429.7839313501</v>
      </c>
      <c r="BE60" s="85">
        <f>-BD60*'Tables 26a,b-MasterInputs'!$I67</f>
        <v>-4380.8327082448977</v>
      </c>
      <c r="BF60" s="85">
        <f t="shared" si="90"/>
        <v>950048.95122310519</v>
      </c>
      <c r="BG60" s="85">
        <f>-BF60*'Tables 26a,b-MasterInputs'!$J67</f>
        <v>-38001.958048924207</v>
      </c>
      <c r="BH60" s="299">
        <f t="shared" si="91"/>
        <v>912046.99317418097</v>
      </c>
      <c r="BI60" s="107">
        <f>IFERROR(BH60/'Table 12-IUL Census'!$G23,0)</f>
        <v>23.632380546865331</v>
      </c>
      <c r="BJ60" s="88">
        <f>'Table 12-IUL Census'!$F23*(BH59/($AR59+$BH59))</f>
        <v>813.35923308133363</v>
      </c>
      <c r="BK60" s="89">
        <f>'Tables 26a,b-MasterInputs'!$H67</f>
        <v>0</v>
      </c>
      <c r="BL60" s="175">
        <f t="shared" si="77"/>
        <v>0</v>
      </c>
      <c r="BO60" s="137">
        <v>12</v>
      </c>
      <c r="BP60" s="85">
        <v>0</v>
      </c>
      <c r="BQ60" s="174">
        <f>MAX(('Table 7-10-OptionBudget'!$D$45/100)*(BY59+BP60+BR60+BS60+BT60),0)</f>
        <v>100960.18926098618</v>
      </c>
      <c r="BR60" s="174">
        <f>MAX(-'Tables 26a,b-MasterInputs'!$E67*('Table 12-IUL Census'!$G22*1000/(1+('Tables 26a,b-MasterInputs'!E42))-(BY59+BP60+BS60+BT60)),-BY59-BS60)*IF(BU59=0,0,1)</f>
        <v>-146994.13141390274</v>
      </c>
      <c r="BS60" s="174">
        <f>-'Tables 26a,b-MasterInputs'!$G67*'Table 12-IUL Census'!$D22</f>
        <v>-8077.3054753296874</v>
      </c>
      <c r="BT60" s="174">
        <f>-'Tables 26a,b-MasterInputs'!$F67*BP60</f>
        <v>0</v>
      </c>
      <c r="BU60" s="85">
        <f t="shared" si="78"/>
        <v>3772272.5905319727</v>
      </c>
      <c r="BV60" s="85">
        <f>-BU60*'Tables 26a,b-MasterInputs'!$I67</f>
        <v>-17314.731190541755</v>
      </c>
      <c r="BW60" s="85">
        <f t="shared" si="79"/>
        <v>3754957.8593414309</v>
      </c>
      <c r="BX60" s="85">
        <f>-BW60*'Tables 26a,b-MasterInputs'!$J67</f>
        <v>-150198.31437365725</v>
      </c>
      <c r="BY60" s="299">
        <f t="shared" si="80"/>
        <v>3604759.5449677738</v>
      </c>
      <c r="BZ60" s="107">
        <f>IFERROR(BY60/'Table 12-IUL Census'!$G23,0)</f>
        <v>93.40423243997725</v>
      </c>
      <c r="CA60" s="88">
        <f>'Table 12-IUL Census'!$F23</f>
        <v>1608.0461286395848</v>
      </c>
      <c r="CB60" s="89">
        <f>'Tables 26a,b-MasterInputs'!$H67</f>
        <v>0</v>
      </c>
      <c r="CC60" s="175">
        <f t="shared" si="81"/>
        <v>0</v>
      </c>
      <c r="CD60" s="303">
        <f t="shared" ca="1" si="82"/>
        <v>0</v>
      </c>
      <c r="CE60" s="137">
        <v>12</v>
      </c>
      <c r="CF60" s="85">
        <v>0</v>
      </c>
      <c r="CG60" s="174">
        <f>MAX(('Table 7-10-OptionBudget'!$D$45/100)*(CO59+CF60+CH60+CI60+CJ60),0)</f>
        <v>33071.887321882052</v>
      </c>
      <c r="CH60" s="300">
        <f t="shared" si="102"/>
        <v>-48151.389044365489</v>
      </c>
      <c r="CI60" s="300">
        <f t="shared" si="103"/>
        <v>-2645.9116063459242</v>
      </c>
      <c r="CJ60" s="300">
        <f>-'Tables 26a,b-MasterInputs'!$F67*CF60</f>
        <v>0</v>
      </c>
      <c r="CK60" s="85">
        <f t="shared" si="83"/>
        <v>1235696.7134738402</v>
      </c>
      <c r="CL60" s="85">
        <f>-CK60*'Tables 26a,b-MasterInputs'!$I67</f>
        <v>-5671.8479148449269</v>
      </c>
      <c r="CM60" s="85">
        <f t="shared" si="84"/>
        <v>1230024.8655589952</v>
      </c>
      <c r="CN60" s="85">
        <f>-CM60*'Tables 26a,b-MasterInputs'!$J67</f>
        <v>-49200.994622359809</v>
      </c>
      <c r="CO60" s="299">
        <f t="shared" si="85"/>
        <v>1180823.8709366354</v>
      </c>
      <c r="CP60" s="107">
        <f>IFERROR(CO60/'Table 12-IUL Census'!$G23,0)</f>
        <v>30.596755743558258</v>
      </c>
      <c r="CQ60" s="88">
        <f>'Table 12-IUL Census'!$F23*(CO59/(CO59+DE59+DU59))</f>
        <v>526.75337441455929</v>
      </c>
      <c r="CR60" s="89">
        <f>'Tables 26a,b-MasterInputs'!$H67</f>
        <v>0</v>
      </c>
      <c r="CS60" s="175">
        <f t="shared" si="86"/>
        <v>0</v>
      </c>
      <c r="CU60" s="137">
        <v>12</v>
      </c>
      <c r="CV60" s="85">
        <v>0</v>
      </c>
      <c r="CW60" s="174">
        <f>MAX(('Table 7-10-OptionBudget'!$D$45/100)*(DE59+CV60+CX60+CY60+CZ60),0)</f>
        <v>33848.959960239481</v>
      </c>
      <c r="CX60" s="300">
        <f t="shared" si="104"/>
        <v>-49282.77675626432</v>
      </c>
      <c r="CY60" s="300">
        <f t="shared" si="105"/>
        <v>-2708.081191431665</v>
      </c>
      <c r="CZ60" s="300">
        <f>-'Tables 26a,b-MasterInputs'!$F67*CV60</f>
        <v>0</v>
      </c>
      <c r="DA60" s="85">
        <f t="shared" si="92"/>
        <v>1264731.2253540675</v>
      </c>
      <c r="DB60" s="85">
        <f>-DA60*'Tables 26a,b-MasterInputs'!$I67</f>
        <v>-5805.1163243751707</v>
      </c>
      <c r="DC60" s="85">
        <f t="shared" si="93"/>
        <v>1258926.1090296924</v>
      </c>
      <c r="DD60" s="85">
        <f>-DC60*'Tables 26a,b-MasterInputs'!$J67</f>
        <v>-50357.044361187698</v>
      </c>
      <c r="DE60" s="299">
        <f t="shared" si="94"/>
        <v>1208569.0646685048</v>
      </c>
      <c r="DF60" s="107">
        <f>IFERROR(DE60/'Table 12-IUL Census'!$G23,0)</f>
        <v>31.315671524790176</v>
      </c>
      <c r="DG60" s="88">
        <f>'Table 12-IUL Census'!$F23*(DE59/(CO59+DE59+DU59))</f>
        <v>539.13021975259869</v>
      </c>
      <c r="DH60" s="89">
        <f>'Tables 26a,b-MasterInputs'!$H67</f>
        <v>0</v>
      </c>
      <c r="DI60" s="175">
        <f t="shared" si="87"/>
        <v>0</v>
      </c>
      <c r="DK60" s="137">
        <v>12</v>
      </c>
      <c r="DL60" s="85">
        <v>0</v>
      </c>
      <c r="DM60" s="174">
        <f>MAX(('Table 7-10-OptionBudget'!$D$45/100)*(DU59+DL60+DN60+DO60+DP60),0)</f>
        <v>34039.341978864599</v>
      </c>
      <c r="DN60" s="300">
        <f t="shared" si="106"/>
        <v>-49559.965613272921</v>
      </c>
      <c r="DO60" s="300">
        <f t="shared" si="107"/>
        <v>-2723.3126775520977</v>
      </c>
      <c r="DP60" s="300">
        <f>-'Tables 26a,b-MasterInputs'!$F67*DL60</f>
        <v>0</v>
      </c>
      <c r="DQ60" s="85">
        <f t="shared" si="95"/>
        <v>1271844.6517040634</v>
      </c>
      <c r="DR60" s="85">
        <f>-DQ60*'Tables 26a,b-MasterInputs'!$I67</f>
        <v>-5837.7669513216515</v>
      </c>
      <c r="DS60" s="85">
        <f t="shared" si="96"/>
        <v>1266006.8847527418</v>
      </c>
      <c r="DT60" s="85">
        <f>-DS60*'Tables 26a,b-MasterInputs'!$J67</f>
        <v>-50640.275390109673</v>
      </c>
      <c r="DU60" s="299">
        <f t="shared" si="97"/>
        <v>1215366.609362632</v>
      </c>
      <c r="DV60" s="107">
        <f>IFERROR(DU60/'Table 12-IUL Census'!$G23,0)</f>
        <v>31.491805171628769</v>
      </c>
      <c r="DW60" s="88">
        <f>'Table 12-IUL Census'!$F23*(DU59/(CO59+DE59+DU59))</f>
        <v>542.16253447242673</v>
      </c>
      <c r="DX60" s="89">
        <f>'Tables 26a,b-MasterInputs'!$H67</f>
        <v>0</v>
      </c>
      <c r="DY60" s="175">
        <f t="shared" si="88"/>
        <v>0</v>
      </c>
      <c r="EJ60" s="88"/>
      <c r="EK60" s="88"/>
      <c r="EL60" s="88"/>
      <c r="EM60" s="88"/>
      <c r="EN60" s="88"/>
      <c r="EO60" s="85"/>
      <c r="EP60" s="85"/>
      <c r="EQ60" s="85"/>
    </row>
    <row r="61" spans="1:147" x14ac:dyDescent="0.25">
      <c r="A61" s="137">
        <v>13</v>
      </c>
      <c r="B61" s="85">
        <v>0</v>
      </c>
      <c r="C61" s="174">
        <f>MAX(('Table 7-10-OptionBudget'!$D$45/100)*(K60+B61+D61+E61+F61),0)</f>
        <v>0</v>
      </c>
      <c r="D61" s="174">
        <f>MAX(-'Tables 26a,b-MasterInputs'!$E68*('Table 12-IUL Census'!$G23*1000/(1+('Tables 26a,b-MasterInputs'!E43))-(K60+B61+E61+F61)),-K60-E61)*IF(G60=0,0,1)</f>
        <v>0</v>
      </c>
      <c r="E61" s="174">
        <f>-'Tables 26a,b-MasterInputs'!$G68*'Table 12-IUL Census'!$D23*IF(G60=0,0,1)</f>
        <v>0</v>
      </c>
      <c r="F61" s="174">
        <f>-'Tables 26a,b-MasterInputs'!$F68*B61</f>
        <v>0</v>
      </c>
      <c r="G61" s="85">
        <f t="shared" si="64"/>
        <v>0</v>
      </c>
      <c r="H61" s="85">
        <f>-G61*'Tables 26a,b-MasterInputs'!$I68</f>
        <v>0</v>
      </c>
      <c r="I61" s="85">
        <f t="shared" si="65"/>
        <v>0</v>
      </c>
      <c r="J61" s="85">
        <f>-I61*'Tables 26a,b-MasterInputs'!$J68</f>
        <v>0</v>
      </c>
      <c r="K61" s="299">
        <f t="shared" si="66"/>
        <v>0</v>
      </c>
      <c r="L61" s="107">
        <f>IFERROR(K61/'Table 12-IUL Census'!$G24,0)</f>
        <v>0</v>
      </c>
      <c r="M61" s="88">
        <f>'Table 12-IUL Census'!$F24</f>
        <v>1535.4190468488036</v>
      </c>
      <c r="N61" s="89">
        <f>'Tables 26a,b-MasterInputs'!$H68</f>
        <v>0</v>
      </c>
      <c r="O61" s="175">
        <f t="shared" si="67"/>
        <v>0</v>
      </c>
      <c r="R61" s="137">
        <v>13</v>
      </c>
      <c r="S61" s="85">
        <v>0</v>
      </c>
      <c r="T61" s="174">
        <f>MAX(('Table 7-10-OptionBudget'!$D$45/100)*(AB60+S61+U61+V61+W61),0)</f>
        <v>44599.675888928243</v>
      </c>
      <c r="U61" s="174">
        <f>MAX(-'Tables 26a,b-MasterInputs'!$E68*('Table 12-IUL Census'!$G23*1000/(1+('Tables 26a,b-MasterInputs'!E43))-(AB60+S61+V61+W61)),-AB60-V61)*IF(AB60&lt;=0,0,1)</f>
        <v>-173616.56458360559</v>
      </c>
      <c r="V61" s="174">
        <f>-'Tables 26a,b-MasterInputs'!$G68*'Table 12-IUL Census'!$D23</f>
        <v>-7718.6214174700071</v>
      </c>
      <c r="W61" s="174">
        <f>-'Tables 26a,b-MasterInputs'!$F68*S61</f>
        <v>0</v>
      </c>
      <c r="X61" s="85">
        <f t="shared" si="68"/>
        <v>1666420.5577854158</v>
      </c>
      <c r="Y61" s="85">
        <f>-X61*'Tables 26a,b-MasterInputs'!$I68</f>
        <v>-8965.3426008855367</v>
      </c>
      <c r="Z61" s="85">
        <f t="shared" si="69"/>
        <v>1657455.2151845302</v>
      </c>
      <c r="AA61" s="85">
        <f>-Z61*'Tables 26a,b-MasterInputs'!$J68</f>
        <v>-66298.20860738121</v>
      </c>
      <c r="AB61" s="299">
        <f t="shared" si="70"/>
        <v>1591157.006577149</v>
      </c>
      <c r="AC61" s="107">
        <f>IFERROR(AB61/'Table 12-IUL Census'!$G24,0)</f>
        <v>43.179227679536389</v>
      </c>
      <c r="AD61" s="88">
        <f>'Table 12-IUL Census'!$F24</f>
        <v>1535.4190468488036</v>
      </c>
      <c r="AE61" s="89">
        <f>'Tables 26a,b-MasterInputs'!$H68</f>
        <v>0</v>
      </c>
      <c r="AF61" s="175">
        <f t="shared" si="71"/>
        <v>0</v>
      </c>
      <c r="AG61" s="303">
        <f t="shared" ca="1" si="72"/>
        <v>0</v>
      </c>
      <c r="AH61" s="137">
        <v>13</v>
      </c>
      <c r="AI61" s="85">
        <v>0</v>
      </c>
      <c r="AJ61" s="174">
        <f>MAX(('Table 7-10-OptionBudget'!$D$45/100)*(AR60+AI61+AK61+AL61+AM61),0)</f>
        <v>22040.896305046528</v>
      </c>
      <c r="AK61" s="300">
        <f t="shared" si="98"/>
        <v>-85800.280395661393</v>
      </c>
      <c r="AL61" s="300">
        <f t="shared" si="99"/>
        <v>-3814.4970986796066</v>
      </c>
      <c r="AM61" s="300">
        <f>-'Tables 26a,b-MasterInputs'!$F68*AI61</f>
        <v>0</v>
      </c>
      <c r="AN61" s="85">
        <f t="shared" si="73"/>
        <v>823535.19353408844</v>
      </c>
      <c r="AO61" s="85">
        <f>-AN61*'Tables 26a,b-MasterInputs'!$I68</f>
        <v>-4430.6193412133962</v>
      </c>
      <c r="AP61" s="85">
        <f t="shared" si="74"/>
        <v>819104.57419287506</v>
      </c>
      <c r="AQ61" s="85">
        <f>-AP61*'Tables 26a,b-MasterInputs'!$J68</f>
        <v>-32764.182967715002</v>
      </c>
      <c r="AR61" s="299">
        <f t="shared" si="75"/>
        <v>786340.3912251601</v>
      </c>
      <c r="AS61" s="107">
        <f>IFERROR(AR61/'Table 12-IUL Census'!$G24,0)</f>
        <v>21.338919192749461</v>
      </c>
      <c r="AT61" s="88">
        <f>'Table 12-IUL Census'!$F24*(AR60/($AR60+$BH60))</f>
        <v>758.79502085774197</v>
      </c>
      <c r="AU61" s="89">
        <f>'Tables 26a,b-MasterInputs'!$H68</f>
        <v>0</v>
      </c>
      <c r="AV61" s="175">
        <f t="shared" si="76"/>
        <v>0</v>
      </c>
      <c r="AW61" s="120"/>
      <c r="AX61" s="137">
        <v>13</v>
      </c>
      <c r="AY61" s="85">
        <v>0</v>
      </c>
      <c r="AZ61" s="174">
        <f>MAX(('Table 7-10-OptionBudget'!$D$45/100)*(BH60+AY61+BA61+BB61+BC61),0)</f>
        <v>22558.77958388174</v>
      </c>
      <c r="BA61" s="300">
        <f t="shared" si="100"/>
        <v>-87816.284187944213</v>
      </c>
      <c r="BB61" s="300">
        <f t="shared" si="101"/>
        <v>-3904.124318790401</v>
      </c>
      <c r="BC61" s="300">
        <f>-'Tables 26a,b-MasterInputs'!$F68*AY61</f>
        <v>0</v>
      </c>
      <c r="BD61" s="85">
        <f t="shared" si="89"/>
        <v>842885.36425132805</v>
      </c>
      <c r="BE61" s="85">
        <f>-BD61*'Tables 26a,b-MasterInputs'!$I68</f>
        <v>-4534.7232596721451</v>
      </c>
      <c r="BF61" s="85">
        <f t="shared" si="90"/>
        <v>838350.64099165588</v>
      </c>
      <c r="BG61" s="85">
        <f>-BF61*'Tables 26a,b-MasterInputs'!$J68</f>
        <v>-33534.025639666237</v>
      </c>
      <c r="BH61" s="299">
        <f t="shared" si="91"/>
        <v>804816.61535198963</v>
      </c>
      <c r="BI61" s="107">
        <f>IFERROR(BH61/'Table 12-IUL Census'!$G24,0)</f>
        <v>21.840308486786945</v>
      </c>
      <c r="BJ61" s="88">
        <f>'Table 12-IUL Census'!$F24*(BH60/($AR60+$BH60))</f>
        <v>776.62402599106179</v>
      </c>
      <c r="BK61" s="89">
        <f>'Tables 26a,b-MasterInputs'!$H68</f>
        <v>0</v>
      </c>
      <c r="BL61" s="175">
        <f t="shared" si="77"/>
        <v>0</v>
      </c>
      <c r="BO61" s="137">
        <v>13</v>
      </c>
      <c r="BP61" s="85">
        <v>0</v>
      </c>
      <c r="BQ61" s="174">
        <f>MAX(('Table 7-10-OptionBudget'!$D$45/100)*(BY60+BP61+BR61+BS61+BT61),0)</f>
        <v>94383.219353943496</v>
      </c>
      <c r="BR61" s="174">
        <f>MAX(-'Tables 26a,b-MasterInputs'!$E68*('Table 12-IUL Census'!$G23*1000/(1+('Tables 26a,b-MasterInputs'!E43))-(BY60+BP61+BS61+BT61)),-BY60-BS61)*IF(BU60=0,0,1)</f>
        <v>-164893.20054763163</v>
      </c>
      <c r="BS61" s="174">
        <f>-'Tables 26a,b-MasterInputs'!$G68*'Table 12-IUL Census'!$D23</f>
        <v>-7718.6214174700071</v>
      </c>
      <c r="BT61" s="174">
        <f>-'Tables 26a,b-MasterInputs'!$F68*BP61</f>
        <v>0</v>
      </c>
      <c r="BU61" s="85">
        <f t="shared" si="78"/>
        <v>3526530.9423566158</v>
      </c>
      <c r="BV61" s="85">
        <f>-BU61*'Tables 26a,b-MasterInputs'!$I68</f>
        <v>-18972.736469878593</v>
      </c>
      <c r="BW61" s="85">
        <f t="shared" si="79"/>
        <v>3507558.205886737</v>
      </c>
      <c r="BX61" s="85">
        <f>-BW61*'Tables 26a,b-MasterInputs'!$J68</f>
        <v>-140302.3282354695</v>
      </c>
      <c r="BY61" s="299">
        <f t="shared" si="80"/>
        <v>3367255.8776512677</v>
      </c>
      <c r="BZ61" s="107">
        <f>IFERROR(BY61/'Table 12-IUL Census'!$G24,0)</f>
        <v>91.377222735003272</v>
      </c>
      <c r="CA61" s="88">
        <f>'Table 12-IUL Census'!$F24</f>
        <v>1535.4190468488036</v>
      </c>
      <c r="CB61" s="89">
        <f>'Tables 26a,b-MasterInputs'!$H68</f>
        <v>0</v>
      </c>
      <c r="CC61" s="175">
        <f t="shared" si="81"/>
        <v>0</v>
      </c>
      <c r="CD61" s="303">
        <f t="shared" ca="1" si="82"/>
        <v>0</v>
      </c>
      <c r="CE61" s="137">
        <v>13</v>
      </c>
      <c r="CF61" s="85">
        <v>0</v>
      </c>
      <c r="CG61" s="174">
        <f>MAX(('Table 7-10-OptionBudget'!$D$45/100)*(CO60+CF61+CH61+CI61+CJ61),0)</f>
        <v>30917.445959625438</v>
      </c>
      <c r="CH61" s="300">
        <f t="shared" si="102"/>
        <v>-54014.650612021913</v>
      </c>
      <c r="CI61" s="300">
        <f t="shared" si="103"/>
        <v>-2528.4161971898848</v>
      </c>
      <c r="CJ61" s="300">
        <f>-'Tables 26a,b-MasterInputs'!$F68*CF61</f>
        <v>0</v>
      </c>
      <c r="CK61" s="85">
        <f t="shared" si="83"/>
        <v>1155198.2500870491</v>
      </c>
      <c r="CL61" s="85">
        <f>-CK61*'Tables 26a,b-MasterInputs'!$I68</f>
        <v>-6214.9665854683244</v>
      </c>
      <c r="CM61" s="85">
        <f t="shared" si="84"/>
        <v>1148983.2835015808</v>
      </c>
      <c r="CN61" s="85">
        <f>-CM61*'Tables 26a,b-MasterInputs'!$J68</f>
        <v>-45959.331340063232</v>
      </c>
      <c r="CO61" s="299">
        <f t="shared" si="85"/>
        <v>1103023.9521615177</v>
      </c>
      <c r="CP61" s="107">
        <f>IFERROR(CO61/'Table 12-IUL Census'!$G24,0)</f>
        <v>29.932760984297587</v>
      </c>
      <c r="CQ61" s="88">
        <f>'Table 12-IUL Census'!$F24*(CO60/(CO60+DE60+DU60))</f>
        <v>502.96266360980059</v>
      </c>
      <c r="CR61" s="89">
        <f>'Tables 26a,b-MasterInputs'!$H68</f>
        <v>0</v>
      </c>
      <c r="CS61" s="175">
        <f t="shared" si="86"/>
        <v>0</v>
      </c>
      <c r="CU61" s="137">
        <v>13</v>
      </c>
      <c r="CV61" s="85">
        <v>0</v>
      </c>
      <c r="CW61" s="174">
        <f>MAX(('Table 7-10-OptionBudget'!$D$45/100)*(DE60+CV61+CX61+CY61+CZ61),0)</f>
        <v>31643.896829189911</v>
      </c>
      <c r="CX61" s="300">
        <f t="shared" si="104"/>
        <v>-55283.804278775831</v>
      </c>
      <c r="CY61" s="300">
        <f t="shared" si="105"/>
        <v>-2587.8250548124743</v>
      </c>
      <c r="CZ61" s="300">
        <f>-'Tables 26a,b-MasterInputs'!$F68*CV61</f>
        <v>0</v>
      </c>
      <c r="DA61" s="85">
        <f t="shared" si="92"/>
        <v>1182341.3321641064</v>
      </c>
      <c r="DB61" s="85">
        <f>-DA61*'Tables 26a,b-MasterInputs'!$I68</f>
        <v>-6360.9963670428924</v>
      </c>
      <c r="DC61" s="85">
        <f t="shared" si="93"/>
        <v>1175980.3357970635</v>
      </c>
      <c r="DD61" s="85">
        <f>-DC61*'Tables 26a,b-MasterInputs'!$J68</f>
        <v>-47039.213431882541</v>
      </c>
      <c r="DE61" s="299">
        <f t="shared" si="94"/>
        <v>1128941.1223651811</v>
      </c>
      <c r="DF61" s="107">
        <f>IFERROR(DE61/'Table 12-IUL Census'!$G24,0)</f>
        <v>30.636075231984947</v>
      </c>
      <c r="DG61" s="88">
        <f>'Table 12-IUL Census'!$F24*(DE60/(CO60+DE60+DU60))</f>
        <v>514.78051120351665</v>
      </c>
      <c r="DH61" s="89">
        <f>'Tables 26a,b-MasterInputs'!$H68</f>
        <v>0</v>
      </c>
      <c r="DI61" s="175">
        <f t="shared" si="87"/>
        <v>0</v>
      </c>
      <c r="DK61" s="137">
        <v>13</v>
      </c>
      <c r="DL61" s="85">
        <v>0</v>
      </c>
      <c r="DM61" s="174">
        <f>MAX(('Table 7-10-OptionBudget'!$D$45/100)*(DU60+DL61+DN61+DO61+DP61),0)</f>
        <v>31821.876565128099</v>
      </c>
      <c r="DN61" s="300">
        <f t="shared" si="106"/>
        <v>-55594.745656833889</v>
      </c>
      <c r="DO61" s="300">
        <f t="shared" si="107"/>
        <v>-2602.3801654676481</v>
      </c>
      <c r="DP61" s="300">
        <f>-'Tables 26a,b-MasterInputs'!$F68*DL61</f>
        <v>0</v>
      </c>
      <c r="DQ61" s="85">
        <f t="shared" si="95"/>
        <v>1188991.3601054586</v>
      </c>
      <c r="DR61" s="85">
        <f>-DQ61*'Tables 26a,b-MasterInputs'!$I68</f>
        <v>-6396.7735173673682</v>
      </c>
      <c r="DS61" s="85">
        <f t="shared" si="96"/>
        <v>1182594.5865880912</v>
      </c>
      <c r="DT61" s="85">
        <f>-DS61*'Tables 26a,b-MasterInputs'!$J68</f>
        <v>-47303.78346352365</v>
      </c>
      <c r="DU61" s="299">
        <f t="shared" si="97"/>
        <v>1135290.8031245675</v>
      </c>
      <c r="DV61" s="107">
        <f>IFERROR(DU61/'Table 12-IUL Census'!$G24,0)</f>
        <v>30.808386518720699</v>
      </c>
      <c r="DW61" s="88">
        <f>'Table 12-IUL Census'!$F24*(DU60/(CO60+DE60+DU60))</f>
        <v>517.67587203548646</v>
      </c>
      <c r="DX61" s="89">
        <f>'Tables 26a,b-MasterInputs'!$H68</f>
        <v>0</v>
      </c>
      <c r="DY61" s="175">
        <f t="shared" si="88"/>
        <v>0</v>
      </c>
      <c r="EJ61" s="88"/>
      <c r="EK61" s="88"/>
      <c r="EL61" s="88"/>
      <c r="EM61" s="88"/>
      <c r="EN61" s="88"/>
      <c r="EO61" s="85"/>
      <c r="EP61" s="85"/>
      <c r="EQ61" s="85"/>
    </row>
    <row r="62" spans="1:147" x14ac:dyDescent="0.25">
      <c r="A62" s="137">
        <v>14</v>
      </c>
      <c r="B62" s="85">
        <v>0</v>
      </c>
      <c r="C62" s="174">
        <f>MAX(('Table 7-10-OptionBudget'!$D$45/100)*(K61+B62+D62+E62+F62),0)</f>
        <v>0</v>
      </c>
      <c r="D62" s="174">
        <f>MAX(-'Tables 26a,b-MasterInputs'!$E69*('Table 12-IUL Census'!$G24*1000/(1+('Tables 26a,b-MasterInputs'!E44))-(K61+B62+E62+F62)),-K61-E62)*IF(G61=0,0,1)</f>
        <v>0</v>
      </c>
      <c r="E62" s="174">
        <f>-'Tables 26a,b-MasterInputs'!$G69*'Table 12-IUL Census'!$D24*IF(G61=0,0,1)</f>
        <v>0</v>
      </c>
      <c r="F62" s="174">
        <f>-'Tables 26a,b-MasterInputs'!$F69*B62</f>
        <v>0</v>
      </c>
      <c r="G62" s="85">
        <f t="shared" si="64"/>
        <v>0</v>
      </c>
      <c r="H62" s="85">
        <f>-G62*'Tables 26a,b-MasterInputs'!$I69</f>
        <v>0</v>
      </c>
      <c r="I62" s="85">
        <f t="shared" si="65"/>
        <v>0</v>
      </c>
      <c r="J62" s="85">
        <f>-I62*'Tables 26a,b-MasterInputs'!$J69</f>
        <v>0</v>
      </c>
      <c r="K62" s="299">
        <f t="shared" si="66"/>
        <v>0</v>
      </c>
      <c r="L62" s="107">
        <f>IFERROR(K62/'Table 12-IUL Census'!$G25,0)</f>
        <v>0</v>
      </c>
      <c r="M62" s="88">
        <f>'Table 12-IUL Census'!$F25</f>
        <v>1464.9224308994064</v>
      </c>
      <c r="N62" s="89">
        <f>'Tables 26a,b-MasterInputs'!$H69</f>
        <v>0</v>
      </c>
      <c r="O62" s="175">
        <f t="shared" si="67"/>
        <v>0</v>
      </c>
      <c r="R62" s="137">
        <v>14</v>
      </c>
      <c r="S62" s="85">
        <v>0</v>
      </c>
      <c r="T62" s="174">
        <f>MAX(('Table 7-10-OptionBudget'!$D$45/100)*(AB61+S62+U62+V62+W62),0)</f>
        <v>38314.132887469365</v>
      </c>
      <c r="U62" s="174">
        <f>MAX(-'Tables 26a,b-MasterInputs'!$E69*('Table 12-IUL Census'!$G24*1000/(1+('Tables 26a,b-MasterInputs'!E44))-(AB61+S62+V62+W62)),-AB61-V62)*IF(AB61&lt;=0,0,1)</f>
        <v>-190533.35484767024</v>
      </c>
      <c r="V62" s="174">
        <f>-'Tables 26a,b-MasterInputs'!$G69*'Table 12-IUL Census'!$D24</f>
        <v>-7370.0114248742575</v>
      </c>
      <c r="W62" s="174">
        <f>-'Tables 26a,b-MasterInputs'!$F69*S62</f>
        <v>0</v>
      </c>
      <c r="X62" s="85">
        <f t="shared" si="68"/>
        <v>1431567.7731920739</v>
      </c>
      <c r="Y62" s="85">
        <f>-X62*'Tables 26a,b-MasterInputs'!$I69</f>
        <v>-8818.4574828631758</v>
      </c>
      <c r="Z62" s="85">
        <f t="shared" si="69"/>
        <v>1422749.3157092107</v>
      </c>
      <c r="AA62" s="85">
        <f>-Z62*'Tables 26a,b-MasterInputs'!$J69</f>
        <v>-56909.972628368429</v>
      </c>
      <c r="AB62" s="299">
        <f t="shared" si="70"/>
        <v>1365839.3430808422</v>
      </c>
      <c r="AC62" s="107">
        <f>IFERROR(AB62/'Table 12-IUL Census'!$G25,0)</f>
        <v>38.84845465396274</v>
      </c>
      <c r="AD62" s="88">
        <f>'Table 12-IUL Census'!$F25</f>
        <v>1464.9224308994064</v>
      </c>
      <c r="AE62" s="89">
        <f>'Tables 26a,b-MasterInputs'!$H69</f>
        <v>0</v>
      </c>
      <c r="AF62" s="175">
        <f t="shared" si="71"/>
        <v>0</v>
      </c>
      <c r="AG62" s="303">
        <f t="shared" ca="1" si="72"/>
        <v>0</v>
      </c>
      <c r="AH62" s="137">
        <v>14</v>
      </c>
      <c r="AI62" s="85">
        <v>0</v>
      </c>
      <c r="AJ62" s="174">
        <f>MAX(('Table 7-10-OptionBudget'!$D$45/100)*(AR61+AI62+AK62+AL62+AM62),0)</f>
        <v>18934.618092149063</v>
      </c>
      <c r="AK62" s="300">
        <f t="shared" si="98"/>
        <v>-94160.458190519115</v>
      </c>
      <c r="AL62" s="300">
        <f t="shared" si="99"/>
        <v>-3642.2161001171617</v>
      </c>
      <c r="AM62" s="300">
        <f>-'Tables 26a,b-MasterInputs'!$F69*AI62</f>
        <v>0</v>
      </c>
      <c r="AN62" s="85">
        <f t="shared" si="73"/>
        <v>707472.33502667292</v>
      </c>
      <c r="AO62" s="85">
        <f>-AN62*'Tables 26a,b-MasterInputs'!$I69</f>
        <v>-4358.0295837643052</v>
      </c>
      <c r="AP62" s="85">
        <f t="shared" si="74"/>
        <v>703114.30544290866</v>
      </c>
      <c r="AQ62" s="85">
        <f>-AP62*'Tables 26a,b-MasterInputs'!$J69</f>
        <v>-28124.572217716348</v>
      </c>
      <c r="AR62" s="299">
        <f t="shared" si="75"/>
        <v>674989.73322519229</v>
      </c>
      <c r="AS62" s="107">
        <f>IFERROR(AR62/'Table 12-IUL Census'!$G25,0)</f>
        <v>19.198676752085056</v>
      </c>
      <c r="AT62" s="88">
        <f>'Table 12-IUL Census'!$F25*(AR61/($AR61+$BH61))</f>
        <v>723.95600978808795</v>
      </c>
      <c r="AU62" s="89">
        <f>'Tables 26a,b-MasterInputs'!$H69</f>
        <v>0</v>
      </c>
      <c r="AV62" s="175">
        <f t="shared" si="76"/>
        <v>0</v>
      </c>
      <c r="AW62" s="120"/>
      <c r="AX62" s="137">
        <v>14</v>
      </c>
      <c r="AY62" s="85">
        <v>0</v>
      </c>
      <c r="AZ62" s="174">
        <f>MAX(('Table 7-10-OptionBudget'!$D$45/100)*(BH61+AY62+BA62+BB62+BC62),0)</f>
        <v>19379.514795320316</v>
      </c>
      <c r="BA62" s="300">
        <f t="shared" si="100"/>
        <v>-96372.896657151112</v>
      </c>
      <c r="BB62" s="300">
        <f t="shared" si="101"/>
        <v>-3727.7953247570954</v>
      </c>
      <c r="BC62" s="300">
        <f>-'Tables 26a,b-MasterInputs'!$F69*AY62</f>
        <v>0</v>
      </c>
      <c r="BD62" s="85">
        <f t="shared" si="89"/>
        <v>724095.43816540169</v>
      </c>
      <c r="BE62" s="85">
        <f>-BD62*'Tables 26a,b-MasterInputs'!$I69</f>
        <v>-4460.4278990988741</v>
      </c>
      <c r="BF62" s="85">
        <f t="shared" si="90"/>
        <v>719635.01026630285</v>
      </c>
      <c r="BG62" s="85">
        <f>-BF62*'Tables 26a,b-MasterInputs'!$J69</f>
        <v>-28785.400410652113</v>
      </c>
      <c r="BH62" s="299">
        <f t="shared" si="91"/>
        <v>690849.60985565069</v>
      </c>
      <c r="BI62" s="107">
        <f>IFERROR(BH62/'Table 12-IUL Census'!$G25,0)</f>
        <v>19.649777901877705</v>
      </c>
      <c r="BJ62" s="88">
        <f>'Table 12-IUL Census'!$F25*(BH61/($AR61+$BH61))</f>
        <v>740.96642111131837</v>
      </c>
      <c r="BK62" s="89">
        <f>'Tables 26a,b-MasterInputs'!$H69</f>
        <v>0</v>
      </c>
      <c r="BL62" s="175">
        <f t="shared" si="77"/>
        <v>0</v>
      </c>
      <c r="BO62" s="137">
        <v>14</v>
      </c>
      <c r="BP62" s="85">
        <v>0</v>
      </c>
      <c r="BQ62" s="174">
        <f>MAX(('Table 7-10-OptionBudget'!$D$45/100)*(BY61+BP62+BR62+BS62+BT62),0)</f>
        <v>87427.197199190312</v>
      </c>
      <c r="BR62" s="174">
        <f>MAX(-'Tables 26a,b-MasterInputs'!$E69*('Table 12-IUL Census'!$G24*1000/(1+('Tables 26a,b-MasterInputs'!E44))-(BY61+BP62+BS62+BT62)),-BY61-BS62)*IF(BU61=0,0,1)</f>
        <v>-180686.66270643534</v>
      </c>
      <c r="BS62" s="174">
        <f>-'Tables 26a,b-MasterInputs'!$G69*'Table 12-IUL Census'!$D24</f>
        <v>-7370.0114248742575</v>
      </c>
      <c r="BT62" s="174">
        <f>-'Tables 26a,b-MasterInputs'!$F69*BP62</f>
        <v>0</v>
      </c>
      <c r="BU62" s="85">
        <f t="shared" si="78"/>
        <v>3266626.4007191486</v>
      </c>
      <c r="BV62" s="85">
        <f>-BU62*'Tables 26a,b-MasterInputs'!$I69</f>
        <v>-20122.418628429954</v>
      </c>
      <c r="BW62" s="85">
        <f t="shared" si="79"/>
        <v>3246503.9820907186</v>
      </c>
      <c r="BX62" s="85">
        <f>-BW62*'Tables 26a,b-MasterInputs'!$J69</f>
        <v>-129860.15928362875</v>
      </c>
      <c r="BY62" s="299">
        <f t="shared" si="80"/>
        <v>3116643.8228070899</v>
      </c>
      <c r="BZ62" s="107">
        <f>IFERROR(BY62/'Table 12-IUL Census'!$G25,0)</f>
        <v>88.646440619998998</v>
      </c>
      <c r="CA62" s="88">
        <f>'Table 12-IUL Census'!$F25</f>
        <v>1464.9224308994064</v>
      </c>
      <c r="CB62" s="89">
        <f>'Tables 26a,b-MasterInputs'!$H69</f>
        <v>0</v>
      </c>
      <c r="CC62" s="175">
        <f t="shared" si="81"/>
        <v>0</v>
      </c>
      <c r="CD62" s="303">
        <f t="shared" ca="1" si="82"/>
        <v>0</v>
      </c>
      <c r="CE62" s="137">
        <v>14</v>
      </c>
      <c r="CF62" s="85">
        <v>0</v>
      </c>
      <c r="CG62" s="174">
        <f>MAX(('Table 7-10-OptionBudget'!$D$45/100)*(CO61+CF62+CH62+CI62+CJ62),0)</f>
        <v>28638.837108013377</v>
      </c>
      <c r="CH62" s="300">
        <f t="shared" si="102"/>
        <v>-59188.171033899765</v>
      </c>
      <c r="CI62" s="300">
        <f t="shared" si="103"/>
        <v>-2414.2207853270434</v>
      </c>
      <c r="CJ62" s="300">
        <f>-'Tables 26a,b-MasterInputs'!$F69*CF62</f>
        <v>0</v>
      </c>
      <c r="CK62" s="85">
        <f t="shared" si="83"/>
        <v>1070060.3974503044</v>
      </c>
      <c r="CL62" s="85">
        <f>-CK62*'Tables 26a,b-MasterInputs'!$I69</f>
        <v>-6591.5720482938741</v>
      </c>
      <c r="CM62" s="85">
        <f t="shared" si="84"/>
        <v>1063468.8254020105</v>
      </c>
      <c r="CN62" s="85">
        <f>-CM62*'Tables 26a,b-MasterInputs'!$J69</f>
        <v>-42538.753016080416</v>
      </c>
      <c r="CO62" s="299">
        <f t="shared" si="85"/>
        <v>1020930.07238593</v>
      </c>
      <c r="CP62" s="107">
        <f>IFERROR(CO62/'Table 12-IUL Census'!$G25,0)</f>
        <v>29.038229000264042</v>
      </c>
      <c r="CQ62" s="88">
        <f>'Table 12-IUL Census'!$F25*(CO61/(CO61+DE61+DU61))</f>
        <v>479.86983705788572</v>
      </c>
      <c r="CR62" s="89">
        <f>'Tables 26a,b-MasterInputs'!$H69</f>
        <v>0</v>
      </c>
      <c r="CS62" s="175">
        <f t="shared" si="86"/>
        <v>0</v>
      </c>
      <c r="CU62" s="137">
        <v>14</v>
      </c>
      <c r="CV62" s="85">
        <v>0</v>
      </c>
      <c r="CW62" s="174">
        <f>MAX(('Table 7-10-OptionBudget'!$D$45/100)*(DE61+CV62+CX62+CY62+CZ62),0)</f>
        <v>29311.748710983429</v>
      </c>
      <c r="CX62" s="300">
        <f t="shared" si="104"/>
        <v>-60578.884172742371</v>
      </c>
      <c r="CY62" s="300">
        <f t="shared" si="105"/>
        <v>-2470.9464537768799</v>
      </c>
      <c r="CZ62" s="300">
        <f>-'Tables 26a,b-MasterInputs'!$F69*CV62</f>
        <v>0</v>
      </c>
      <c r="DA62" s="85">
        <f t="shared" si="92"/>
        <v>1095203.0404496454</v>
      </c>
      <c r="DB62" s="85">
        <f>-DA62*'Tables 26a,b-MasterInputs'!$I69</f>
        <v>-6746.4507291698155</v>
      </c>
      <c r="DC62" s="85">
        <f t="shared" si="93"/>
        <v>1088456.5897204755</v>
      </c>
      <c r="DD62" s="85">
        <f>-DC62*'Tables 26a,b-MasterInputs'!$J69</f>
        <v>-43538.26358881902</v>
      </c>
      <c r="DE62" s="299">
        <f t="shared" si="94"/>
        <v>1044918.3261316564</v>
      </c>
      <c r="DF62" s="107">
        <f>IFERROR(DE62/'Table 12-IUL Census'!$G25,0)</f>
        <v>29.720524903211572</v>
      </c>
      <c r="DG62" s="88">
        <f>'Table 12-IUL Census'!$F25*(DE61/(CO61+DE61+DU61))</f>
        <v>491.14508472432283</v>
      </c>
      <c r="DH62" s="89">
        <f>'Tables 26a,b-MasterInputs'!$H69</f>
        <v>0</v>
      </c>
      <c r="DI62" s="175">
        <f t="shared" si="87"/>
        <v>0</v>
      </c>
      <c r="DK62" s="137">
        <v>14</v>
      </c>
      <c r="DL62" s="85">
        <v>0</v>
      </c>
      <c r="DM62" s="174">
        <f>MAX(('Table 7-10-OptionBudget'!$D$45/100)*(DU61+DL62+DN62+DO62+DP62),0)</f>
        <v>29476.611380193473</v>
      </c>
      <c r="DN62" s="300">
        <f t="shared" si="106"/>
        <v>-60919.607499793201</v>
      </c>
      <c r="DO62" s="300">
        <f t="shared" si="107"/>
        <v>-2484.8441857703347</v>
      </c>
      <c r="DP62" s="300">
        <f>-'Tables 26a,b-MasterInputs'!$F69*DL62</f>
        <v>0</v>
      </c>
      <c r="DQ62" s="85">
        <f t="shared" si="95"/>
        <v>1101362.9628191974</v>
      </c>
      <c r="DR62" s="85">
        <f>-DQ62*'Tables 26a,b-MasterInputs'!$I69</f>
        <v>-6784.3958509662561</v>
      </c>
      <c r="DS62" s="85">
        <f t="shared" si="96"/>
        <v>1094578.5669682312</v>
      </c>
      <c r="DT62" s="85">
        <f>-DS62*'Tables 26a,b-MasterInputs'!$J69</f>
        <v>-43783.142678729251</v>
      </c>
      <c r="DU62" s="299">
        <f t="shared" si="97"/>
        <v>1050795.424289502</v>
      </c>
      <c r="DV62" s="107">
        <f>IFERROR(DU62/'Table 12-IUL Census'!$G25,0)</f>
        <v>29.887686716523341</v>
      </c>
      <c r="DW62" s="88">
        <f>'Table 12-IUL Census'!$F25*(DU61/(CO61+DE61+DU61))</f>
        <v>493.90750911719783</v>
      </c>
      <c r="DX62" s="89">
        <f>'Tables 26a,b-MasterInputs'!$H69</f>
        <v>0</v>
      </c>
      <c r="DY62" s="175">
        <f t="shared" si="88"/>
        <v>0</v>
      </c>
      <c r="EJ62" s="88"/>
      <c r="EK62" s="88"/>
      <c r="EL62" s="88"/>
      <c r="EM62" s="88"/>
      <c r="EN62" s="88"/>
      <c r="EO62" s="85"/>
      <c r="EP62" s="85"/>
      <c r="EQ62" s="85"/>
    </row>
    <row r="63" spans="1:147" x14ac:dyDescent="0.25">
      <c r="A63" s="137">
        <v>15</v>
      </c>
      <c r="B63" s="85">
        <v>0</v>
      </c>
      <c r="C63" s="174">
        <f>MAX(('Table 7-10-OptionBudget'!$D$45/100)*(K62+B63+D63+E63+F63),0)</f>
        <v>0</v>
      </c>
      <c r="D63" s="174">
        <f>MAX(-'Tables 26a,b-MasterInputs'!$E70*('Table 12-IUL Census'!$G25*1000/(1+('Tables 26a,b-MasterInputs'!E45))-(K62+B63+E63+F63)),-K62-E63)*IF(G62=0,0,1)</f>
        <v>0</v>
      </c>
      <c r="E63" s="174">
        <f>-'Tables 26a,b-MasterInputs'!$G70*'Table 12-IUL Census'!$D25*IF(G62=0,0,1)</f>
        <v>0</v>
      </c>
      <c r="F63" s="174">
        <f>-'Tables 26a,b-MasterInputs'!$F70*B63</f>
        <v>0</v>
      </c>
      <c r="G63" s="85">
        <f t="shared" si="64"/>
        <v>0</v>
      </c>
      <c r="H63" s="85">
        <f>-G63*'Tables 26a,b-MasterInputs'!$I70</f>
        <v>0</v>
      </c>
      <c r="I63" s="85">
        <f t="shared" si="65"/>
        <v>0</v>
      </c>
      <c r="J63" s="85">
        <f>-I63*'Tables 26a,b-MasterInputs'!$J70</f>
        <v>0</v>
      </c>
      <c r="K63" s="299">
        <f t="shared" si="66"/>
        <v>0</v>
      </c>
      <c r="L63" s="107">
        <f>IFERROR(K63/'Table 12-IUL Census'!$G26,0)</f>
        <v>0</v>
      </c>
      <c r="M63" s="88">
        <f>'Table 12-IUL Census'!$F26</f>
        <v>1396.5796977151426</v>
      </c>
      <c r="N63" s="89">
        <f>'Tables 26a,b-MasterInputs'!$H70</f>
        <v>0</v>
      </c>
      <c r="O63" s="175">
        <f t="shared" si="67"/>
        <v>0</v>
      </c>
      <c r="R63" s="137">
        <v>15</v>
      </c>
      <c r="S63" s="85">
        <v>0</v>
      </c>
      <c r="T63" s="174">
        <f>MAX(('Table 7-10-OptionBudget'!$D$45/100)*(AB62+S63+U63+V63+W63),0)</f>
        <v>31716.831115860805</v>
      </c>
      <c r="U63" s="174">
        <f>MAX(-'Tables 26a,b-MasterInputs'!$E70*('Table 12-IUL Census'!$G25*1000/(1+('Tables 26a,b-MasterInputs'!E45))-(AB62+S63+V63+W63)),-AB62-V63)*IF(AB62&lt;=0,0,1)</f>
        <v>-205458.10050967475</v>
      </c>
      <c r="V63" s="174">
        <f>-'Tables 26a,b-MasterInputs'!$G70*'Table 12-IUL Census'!$D25</f>
        <v>-7031.6276683171509</v>
      </c>
      <c r="W63" s="174">
        <f>-'Tables 26a,b-MasterInputs'!$F70*S63</f>
        <v>0</v>
      </c>
      <c r="X63" s="85">
        <f t="shared" si="68"/>
        <v>1185066.4460187112</v>
      </c>
      <c r="Y63" s="85">
        <f>-X63*'Tables 26a,b-MasterInputs'!$I70</f>
        <v>-8212.5104709096686</v>
      </c>
      <c r="Z63" s="85">
        <f t="shared" si="69"/>
        <v>1176853.9355478014</v>
      </c>
      <c r="AA63" s="85">
        <f>-Z63*'Tables 26a,b-MasterInputs'!$J70</f>
        <v>-47074.157421912059</v>
      </c>
      <c r="AB63" s="299">
        <f t="shared" si="70"/>
        <v>1129779.7781258894</v>
      </c>
      <c r="AC63" s="107">
        <f>IFERROR(AB63/'Table 12-IUL Census'!$G26,0)</f>
        <v>33.706746202115916</v>
      </c>
      <c r="AD63" s="88">
        <f>'Table 12-IUL Census'!$F26</f>
        <v>1396.5796977151426</v>
      </c>
      <c r="AE63" s="89">
        <f>'Tables 26a,b-MasterInputs'!$H70</f>
        <v>0</v>
      </c>
      <c r="AF63" s="175">
        <f t="shared" si="71"/>
        <v>0</v>
      </c>
      <c r="AG63" s="303">
        <f t="shared" ca="1" si="72"/>
        <v>0</v>
      </c>
      <c r="AH63" s="137">
        <v>15</v>
      </c>
      <c r="AI63" s="85">
        <v>0</v>
      </c>
      <c r="AJ63" s="174">
        <f>MAX(('Table 7-10-OptionBudget'!$D$45/100)*(AR62+AI63+AK63+AL63+AM63),0)</f>
        <v>15674.270537084845</v>
      </c>
      <c r="AK63" s="300">
        <f t="shared" si="98"/>
        <v>-101536.17931312704</v>
      </c>
      <c r="AL63" s="300">
        <f t="shared" si="99"/>
        <v>-3474.9888469828229</v>
      </c>
      <c r="AM63" s="300">
        <f>-'Tables 26a,b-MasterInputs'!$F70*AI63</f>
        <v>0</v>
      </c>
      <c r="AN63" s="85">
        <f t="shared" si="73"/>
        <v>585652.8356021673</v>
      </c>
      <c r="AO63" s="85">
        <f>-AN63*'Tables 26a,b-MasterInputs'!$I70</f>
        <v>-4058.5741507230196</v>
      </c>
      <c r="AP63" s="85">
        <f t="shared" si="74"/>
        <v>581594.26145144424</v>
      </c>
      <c r="AQ63" s="85">
        <f>-AP63*'Tables 26a,b-MasterInputs'!$J70</f>
        <v>-23263.77045805777</v>
      </c>
      <c r="AR63" s="299">
        <f t="shared" si="75"/>
        <v>558330.49099338648</v>
      </c>
      <c r="AS63" s="107">
        <f>IFERROR(AR63/'Table 12-IUL Census'!$G26,0)</f>
        <v>16.657674815206175</v>
      </c>
      <c r="AT63" s="88">
        <f>'Table 12-IUL Census'!$F26*(AR62/($AR62+$BH62))</f>
        <v>690.18143485464645</v>
      </c>
      <c r="AU63" s="89">
        <f>'Tables 26a,b-MasterInputs'!$H70</f>
        <v>0</v>
      </c>
      <c r="AV63" s="175">
        <f t="shared" si="76"/>
        <v>0</v>
      </c>
      <c r="AW63" s="120"/>
      <c r="AX63" s="137">
        <v>15</v>
      </c>
      <c r="AY63" s="85">
        <v>0</v>
      </c>
      <c r="AZ63" s="174">
        <f>MAX(('Table 7-10-OptionBudget'!$D$45/100)*(BH62+AY63+BA63+BB63+BC63),0)</f>
        <v>16042.560578775983</v>
      </c>
      <c r="BA63" s="300">
        <f t="shared" si="100"/>
        <v>-103921.92119654772</v>
      </c>
      <c r="BB63" s="300">
        <f t="shared" si="101"/>
        <v>-3556.6388213343284</v>
      </c>
      <c r="BC63" s="300">
        <f>-'Tables 26a,b-MasterInputs'!$F70*AY63</f>
        <v>0</v>
      </c>
      <c r="BD63" s="85">
        <f t="shared" si="89"/>
        <v>599413.6104165446</v>
      </c>
      <c r="BE63" s="85">
        <f>-BD63*'Tables 26a,b-MasterInputs'!$I70</f>
        <v>-4153.9363201866545</v>
      </c>
      <c r="BF63" s="85">
        <f t="shared" si="90"/>
        <v>595259.67409635789</v>
      </c>
      <c r="BG63" s="85">
        <f>-BF63*'Tables 26a,b-MasterInputs'!$J70</f>
        <v>-23810.386963854315</v>
      </c>
      <c r="BH63" s="299">
        <f t="shared" si="91"/>
        <v>571449.28713250358</v>
      </c>
      <c r="BI63" s="107">
        <f>IFERROR(BH63/'Table 12-IUL Census'!$G26,0)</f>
        <v>17.049071386909766</v>
      </c>
      <c r="BJ63" s="88">
        <f>'Table 12-IUL Census'!$F26*(BH62/($AR62+$BH62))</f>
        <v>706.39826286049629</v>
      </c>
      <c r="BK63" s="89">
        <f>'Tables 26a,b-MasterInputs'!$H70</f>
        <v>0</v>
      </c>
      <c r="BL63" s="175">
        <f t="shared" si="77"/>
        <v>0</v>
      </c>
      <c r="BO63" s="137">
        <v>15</v>
      </c>
      <c r="BP63" s="85">
        <v>0</v>
      </c>
      <c r="BQ63" s="174">
        <f>MAX(('Table 7-10-OptionBudget'!$D$45/100)*(BY62+BP63+BR63+BS63+BT63),0)</f>
        <v>80163.815188395369</v>
      </c>
      <c r="BR63" s="174">
        <f>MAX(-'Tables 26a,b-MasterInputs'!$E70*('Table 12-IUL Census'!$G25*1000/(1+('Tables 26a,b-MasterInputs'!E45))-(BY62+BP63+BS63+BT63)),-BY62-BS63)*IF(BU62=0,0,1)</f>
        <v>-194538.33296962213</v>
      </c>
      <c r="BS63" s="174">
        <f>-'Tables 26a,b-MasterInputs'!$G70*'Table 12-IUL Census'!$D25</f>
        <v>-7031.6276683171509</v>
      </c>
      <c r="BT63" s="174">
        <f>-'Tables 26a,b-MasterInputs'!$F70*BP63</f>
        <v>0</v>
      </c>
      <c r="BU63" s="85">
        <f t="shared" si="78"/>
        <v>2995237.6773575461</v>
      </c>
      <c r="BV63" s="85">
        <f>-BU63*'Tables 26a,b-MasterInputs'!$I70</f>
        <v>-20756.997104087794</v>
      </c>
      <c r="BW63" s="85">
        <f t="shared" si="79"/>
        <v>2974480.6802534582</v>
      </c>
      <c r="BX63" s="85">
        <f>-BW63*'Tables 26a,b-MasterInputs'!$J70</f>
        <v>-118979.22721013833</v>
      </c>
      <c r="BY63" s="299">
        <f t="shared" si="80"/>
        <v>2855501.4530433198</v>
      </c>
      <c r="BZ63" s="107">
        <f>IFERROR(BY63/'Table 12-IUL Census'!$G26,0)</f>
        <v>85.193295738720039</v>
      </c>
      <c r="CA63" s="88">
        <f>'Table 12-IUL Census'!$F26</f>
        <v>1396.5796977151426</v>
      </c>
      <c r="CB63" s="89">
        <f>'Tables 26a,b-MasterInputs'!$H70</f>
        <v>0</v>
      </c>
      <c r="CC63" s="175">
        <f t="shared" si="81"/>
        <v>0</v>
      </c>
      <c r="CD63" s="303">
        <f t="shared" ca="1" si="82"/>
        <v>0</v>
      </c>
      <c r="CE63" s="137">
        <v>15</v>
      </c>
      <c r="CF63" s="85">
        <v>0</v>
      </c>
      <c r="CG63" s="174">
        <f>MAX(('Table 7-10-OptionBudget'!$D$45/100)*(CO62+CF63+CH63+CI63+CJ63),0)</f>
        <v>26259.545298091809</v>
      </c>
      <c r="CH63" s="300">
        <f t="shared" si="102"/>
        <v>-63725.611796612378</v>
      </c>
      <c r="CI63" s="300">
        <f t="shared" si="103"/>
        <v>-2303.3752178778514</v>
      </c>
      <c r="CJ63" s="300">
        <f>-'Tables 26a,b-MasterInputs'!$F70*CF63</f>
        <v>0</v>
      </c>
      <c r="CK63" s="85">
        <f t="shared" si="83"/>
        <v>981160.63066953153</v>
      </c>
      <c r="CL63" s="85">
        <f>-CK63*'Tables 26a,b-MasterInputs'!$I70</f>
        <v>-6799.4431705398538</v>
      </c>
      <c r="CM63" s="85">
        <f t="shared" si="84"/>
        <v>974361.18749899173</v>
      </c>
      <c r="CN63" s="85">
        <f>-CM63*'Tables 26a,b-MasterInputs'!$J70</f>
        <v>-38974.447499959671</v>
      </c>
      <c r="CO63" s="299">
        <f t="shared" si="85"/>
        <v>935386.73999903211</v>
      </c>
      <c r="CP63" s="107">
        <f>IFERROR(CO63/'Table 12-IUL Census'!$G26,0)</f>
        <v>27.907070082519006</v>
      </c>
      <c r="CQ63" s="88">
        <f>'Table 12-IUL Census'!$F26*(CO62/(CO62+DE62+DU62))</f>
        <v>457.48256552359163</v>
      </c>
      <c r="CR63" s="89">
        <f>'Tables 26a,b-MasterInputs'!$H70</f>
        <v>0</v>
      </c>
      <c r="CS63" s="175">
        <f t="shared" si="86"/>
        <v>0</v>
      </c>
      <c r="CU63" s="137">
        <v>15</v>
      </c>
      <c r="CV63" s="85">
        <v>0</v>
      </c>
      <c r="CW63" s="174">
        <f>MAX(('Table 7-10-OptionBudget'!$D$45/100)*(DE62+CV63+CX63+CY63+CZ63),0)</f>
        <v>26876.551940266516</v>
      </c>
      <c r="CX63" s="300">
        <f t="shared" si="104"/>
        <v>-65222.938780336415</v>
      </c>
      <c r="CY63" s="300">
        <f t="shared" si="105"/>
        <v>-2357.4964066767498</v>
      </c>
      <c r="CZ63" s="300">
        <f>-'Tables 26a,b-MasterInputs'!$F70*CV63</f>
        <v>0</v>
      </c>
      <c r="DA63" s="85">
        <f t="shared" si="92"/>
        <v>1004214.4428849098</v>
      </c>
      <c r="DB63" s="85">
        <f>-DA63*'Tables 26a,b-MasterInputs'!$I70</f>
        <v>-6959.2060891924257</v>
      </c>
      <c r="DC63" s="85">
        <f t="shared" si="93"/>
        <v>997255.23679571738</v>
      </c>
      <c r="DD63" s="85">
        <f>-DC63*'Tables 26a,b-MasterInputs'!$J70</f>
        <v>-39890.209471828697</v>
      </c>
      <c r="DE63" s="299">
        <f t="shared" si="94"/>
        <v>957365.02732388873</v>
      </c>
      <c r="DF63" s="107">
        <f>IFERROR(DE63/'Table 12-IUL Census'!$G26,0)</f>
        <v>28.562787742862518</v>
      </c>
      <c r="DG63" s="88">
        <f>'Table 12-IUL Census'!$F26*(DE62/(CO62+DE62+DU62))</f>
        <v>468.23179131569594</v>
      </c>
      <c r="DH63" s="89">
        <f>'Tables 26a,b-MasterInputs'!$H70</f>
        <v>0</v>
      </c>
      <c r="DI63" s="175">
        <f t="shared" si="87"/>
        <v>0</v>
      </c>
      <c r="DK63" s="137">
        <v>15</v>
      </c>
      <c r="DL63" s="85">
        <v>0</v>
      </c>
      <c r="DM63" s="174">
        <f>MAX(('Table 7-10-OptionBudget'!$D$45/100)*(DU62+DL63+DN63+DO63+DP63),0)</f>
        <v>27027.717950037004</v>
      </c>
      <c r="DN63" s="300">
        <f t="shared" si="106"/>
        <v>-65589.78239267334</v>
      </c>
      <c r="DO63" s="300">
        <f t="shared" si="107"/>
        <v>-2370.7560437625498</v>
      </c>
      <c r="DP63" s="300">
        <f>-'Tables 26a,b-MasterInputs'!$F70*DL63</f>
        <v>0</v>
      </c>
      <c r="DQ63" s="85">
        <f t="shared" si="95"/>
        <v>1009862.6038031031</v>
      </c>
      <c r="DR63" s="85">
        <f>-DQ63*'Tables 26a,b-MasterInputs'!$I70</f>
        <v>-6998.347844355505</v>
      </c>
      <c r="DS63" s="85">
        <f t="shared" si="96"/>
        <v>1002864.2559587476</v>
      </c>
      <c r="DT63" s="85">
        <f>-DS63*'Tables 26a,b-MasterInputs'!$J70</f>
        <v>-40114.570238349901</v>
      </c>
      <c r="DU63" s="299">
        <f t="shared" si="97"/>
        <v>962749.68572039763</v>
      </c>
      <c r="DV63" s="107">
        <f>IFERROR(DU63/'Table 12-IUL Census'!$G26,0)</f>
        <v>28.723437913338479</v>
      </c>
      <c r="DW63" s="88">
        <f>'Table 12-IUL Census'!$F26*(DU62/(CO62+DE62+DU62))</f>
        <v>470.86534087585505</v>
      </c>
      <c r="DX63" s="89">
        <f>'Tables 26a,b-MasterInputs'!$H70</f>
        <v>0</v>
      </c>
      <c r="DY63" s="175">
        <f t="shared" si="88"/>
        <v>0</v>
      </c>
      <c r="EJ63" s="88"/>
      <c r="EK63" s="88"/>
      <c r="EL63" s="88"/>
      <c r="EM63" s="88"/>
      <c r="EN63" s="88"/>
      <c r="EO63" s="85"/>
      <c r="EP63" s="85"/>
      <c r="EQ63" s="85"/>
    </row>
    <row r="64" spans="1:147" x14ac:dyDescent="0.25">
      <c r="A64" s="137">
        <v>16</v>
      </c>
      <c r="B64" s="85">
        <v>0</v>
      </c>
      <c r="C64" s="174">
        <f>MAX(('Table 7-10-OptionBudget'!$D$45/100)*(K63+B64+D64+E64+F64),0)</f>
        <v>0</v>
      </c>
      <c r="D64" s="174">
        <f>MAX(-'Tables 26a,b-MasterInputs'!$E71*('Table 12-IUL Census'!$G26*1000/(1+('Tables 26a,b-MasterInputs'!E46))-(K63+B64+E64+F64)),-K63-E64)*IF(G63=0,0,1)</f>
        <v>0</v>
      </c>
      <c r="E64" s="174">
        <f>-'Tables 26a,b-MasterInputs'!$G71*'Table 12-IUL Census'!$D26*IF(G63=0,0,1)</f>
        <v>0</v>
      </c>
      <c r="F64" s="174">
        <f>-'Tables 26a,b-MasterInputs'!$F71*B64</f>
        <v>0</v>
      </c>
      <c r="G64" s="85">
        <f t="shared" si="64"/>
        <v>0</v>
      </c>
      <c r="H64" s="85">
        <f>-G64*'Tables 26a,b-MasterInputs'!$I71</f>
        <v>0</v>
      </c>
      <c r="I64" s="85">
        <f t="shared" si="65"/>
        <v>0</v>
      </c>
      <c r="J64" s="85">
        <f>-I64*'Tables 26a,b-MasterInputs'!$J71</f>
        <v>0</v>
      </c>
      <c r="K64" s="299">
        <f t="shared" si="66"/>
        <v>0</v>
      </c>
      <c r="L64" s="107">
        <f>IFERROR(K64/'Table 12-IUL Census'!$G27,0)</f>
        <v>0</v>
      </c>
      <c r="M64" s="88">
        <f>'Table 12-IUL Census'!$F27</f>
        <v>1330.2991425253401</v>
      </c>
      <c r="N64" s="89">
        <f>'Tables 26a,b-MasterInputs'!$H71</f>
        <v>0</v>
      </c>
      <c r="O64" s="175">
        <f t="shared" si="67"/>
        <v>0</v>
      </c>
      <c r="R64" s="137">
        <v>16</v>
      </c>
      <c r="S64" s="85">
        <v>0</v>
      </c>
      <c r="T64" s="174">
        <f>MAX(('Table 7-10-OptionBudget'!$D$45/100)*(AB63+S64+U64+V64+W64),0)</f>
        <v>24811.81704725583</v>
      </c>
      <c r="U64" s="174">
        <f>MAX(-'Tables 26a,b-MasterInputs'!$E71*('Table 12-IUL Census'!$G26*1000/(1+('Tables 26a,b-MasterInputs'!E46))-(AB63+S64+V64+W64)),-AB63-V64)*IF(AB63&lt;=0,0,1)</f>
        <v>-220820.24409304099</v>
      </c>
      <c r="V64" s="174">
        <f>-'Tables 26a,b-MasterInputs'!$G71*'Table 12-IUL Census'!$D26</f>
        <v>-6703.5825490326852</v>
      </c>
      <c r="W64" s="174">
        <f>-'Tables 26a,b-MasterInputs'!$F71*S64</f>
        <v>0</v>
      </c>
      <c r="X64" s="85">
        <f t="shared" si="68"/>
        <v>927067.76853107149</v>
      </c>
      <c r="Y64" s="85">
        <f>-X64*'Tables 26a,b-MasterInputs'!$I71</f>
        <v>-7203.3165614864256</v>
      </c>
      <c r="Z64" s="85">
        <f t="shared" si="69"/>
        <v>919864.45196958503</v>
      </c>
      <c r="AA64" s="85">
        <f>-Z64*'Tables 26a,b-MasterInputs'!$J71</f>
        <v>-36794.578078783401</v>
      </c>
      <c r="AB64" s="299">
        <f t="shared" si="70"/>
        <v>883069.87389080168</v>
      </c>
      <c r="AC64" s="107">
        <f>IFERROR(AB64/'Table 12-IUL Census'!$G27,0)</f>
        <v>27.658875287956182</v>
      </c>
      <c r="AD64" s="88">
        <f>'Table 12-IUL Census'!$F27</f>
        <v>1330.2991425253401</v>
      </c>
      <c r="AE64" s="89">
        <f>'Tables 26a,b-MasterInputs'!$H71</f>
        <v>0</v>
      </c>
      <c r="AF64" s="175">
        <f t="shared" si="71"/>
        <v>0</v>
      </c>
      <c r="AG64" s="303">
        <f t="shared" ca="1" si="72"/>
        <v>0</v>
      </c>
      <c r="AH64" s="137">
        <v>16</v>
      </c>
      <c r="AI64" s="85">
        <v>0</v>
      </c>
      <c r="AJ64" s="174">
        <f>MAX(('Table 7-10-OptionBudget'!$D$45/100)*(AR63+AI64+AK64+AL64+AM64),0)</f>
        <v>12261.853382977428</v>
      </c>
      <c r="AK64" s="300">
        <f t="shared" si="98"/>
        <v>-109128.05990408592</v>
      </c>
      <c r="AL64" s="300">
        <f t="shared" si="99"/>
        <v>-3312.8708873023033</v>
      </c>
      <c r="AM64" s="300">
        <f>-'Tables 26a,b-MasterInputs'!$F71*AI64</f>
        <v>0</v>
      </c>
      <c r="AN64" s="85">
        <f t="shared" si="73"/>
        <v>458151.4135849757</v>
      </c>
      <c r="AO64" s="85">
        <f>-AN64*'Tables 26a,b-MasterInputs'!$I71</f>
        <v>-3559.8364835552611</v>
      </c>
      <c r="AP64" s="85">
        <f t="shared" si="74"/>
        <v>454591.57710142044</v>
      </c>
      <c r="AQ64" s="85">
        <f>-AP64*'Tables 26a,b-MasterInputs'!$J71</f>
        <v>-18183.663084056818</v>
      </c>
      <c r="AR64" s="299">
        <f t="shared" si="75"/>
        <v>436407.91401736363</v>
      </c>
      <c r="AS64" s="107">
        <f>IFERROR(AR64/'Table 12-IUL Census'!$G27,0)</f>
        <v>13.668852743555354</v>
      </c>
      <c r="AT64" s="88">
        <f>'Table 12-IUL Census'!$F27*(AR63/($AR63+$BH63))</f>
        <v>657.42597610159282</v>
      </c>
      <c r="AU64" s="89">
        <f>'Tables 26a,b-MasterInputs'!$H71</f>
        <v>0</v>
      </c>
      <c r="AV64" s="175">
        <f t="shared" si="76"/>
        <v>0</v>
      </c>
      <c r="AW64" s="120"/>
      <c r="AX64" s="137">
        <v>16</v>
      </c>
      <c r="AY64" s="85">
        <v>0</v>
      </c>
      <c r="AZ64" s="174">
        <f>MAX(('Table 7-10-OptionBudget'!$D$45/100)*(BH63+AY64+BA64+BB64+BC64),0)</f>
        <v>12549.963664278417</v>
      </c>
      <c r="BA64" s="300">
        <f t="shared" si="100"/>
        <v>-111692.18418895509</v>
      </c>
      <c r="BB64" s="300">
        <f t="shared" si="101"/>
        <v>-3390.7116617303823</v>
      </c>
      <c r="BC64" s="300">
        <f>-'Tables 26a,b-MasterInputs'!$F71*AY64</f>
        <v>0</v>
      </c>
      <c r="BD64" s="85">
        <f t="shared" si="89"/>
        <v>468916.35494609654</v>
      </c>
      <c r="BE64" s="85">
        <f>-BD64*'Tables 26a,b-MasterInputs'!$I71</f>
        <v>-3643.4800779311699</v>
      </c>
      <c r="BF64" s="85">
        <f t="shared" si="90"/>
        <v>465272.87486816535</v>
      </c>
      <c r="BG64" s="85">
        <f>-BF64*'Tables 26a,b-MasterInputs'!$J71</f>
        <v>-18610.914994726616</v>
      </c>
      <c r="BH64" s="299">
        <f t="shared" si="91"/>
        <v>446661.95987343875</v>
      </c>
      <c r="BI64" s="107">
        <f>IFERROR(BH64/'Table 12-IUL Census'!$G27,0)</f>
        <v>13.990022544400849</v>
      </c>
      <c r="BJ64" s="88">
        <f>'Table 12-IUL Census'!$F27*(BH63/($AR63+$BH63))</f>
        <v>672.87316642374742</v>
      </c>
      <c r="BK64" s="89">
        <f>'Tables 26a,b-MasterInputs'!$H71</f>
        <v>0</v>
      </c>
      <c r="BL64" s="175">
        <f t="shared" si="77"/>
        <v>0</v>
      </c>
      <c r="BO64" s="137">
        <v>16</v>
      </c>
      <c r="BP64" s="85">
        <v>0</v>
      </c>
      <c r="BQ64" s="174">
        <f>MAX(('Table 7-10-OptionBudget'!$D$45/100)*(BY63+BP64+BR64+BS64+BT64),0)</f>
        <v>72600.605480183163</v>
      </c>
      <c r="BR64" s="174">
        <f>MAX(-'Tables 26a,b-MasterInputs'!$E71*('Table 12-IUL Census'!$G26*1000/(1+('Tables 26a,b-MasterInputs'!E46))-(BY63+BP64+BS64+BT64)),-BY63-BS64)*IF(BU63=0,0,1)</f>
        <v>-208752.27242034342</v>
      </c>
      <c r="BS64" s="174">
        <f>-'Tables 26a,b-MasterInputs'!$G71*'Table 12-IUL Census'!$D26</f>
        <v>-6703.5825490326852</v>
      </c>
      <c r="BT64" s="174">
        <f>-'Tables 26a,b-MasterInputs'!$F71*BP64</f>
        <v>0</v>
      </c>
      <c r="BU64" s="85">
        <f t="shared" si="78"/>
        <v>2712646.2035541269</v>
      </c>
      <c r="BV64" s="85">
        <f>-BU64*'Tables 26a,b-MasterInputs'!$I71</f>
        <v>-21077.261001615567</v>
      </c>
      <c r="BW64" s="85">
        <f t="shared" si="79"/>
        <v>2691568.9425525111</v>
      </c>
      <c r="BX64" s="85">
        <f>-BW64*'Tables 26a,b-MasterInputs'!$J71</f>
        <v>-107662.75770210044</v>
      </c>
      <c r="BY64" s="299">
        <f t="shared" si="80"/>
        <v>2583906.1848504106</v>
      </c>
      <c r="BZ64" s="107">
        <f>IFERROR(BY64/'Table 12-IUL Census'!$G27,0)</f>
        <v>80.931238892420538</v>
      </c>
      <c r="CA64" s="88">
        <f>'Table 12-IUL Census'!$F27</f>
        <v>1330.2991425253401</v>
      </c>
      <c r="CB64" s="89">
        <f>'Tables 26a,b-MasterInputs'!$H71</f>
        <v>0</v>
      </c>
      <c r="CC64" s="175">
        <f t="shared" si="81"/>
        <v>0</v>
      </c>
      <c r="CD64" s="303">
        <f t="shared" ca="1" si="82"/>
        <v>0</v>
      </c>
      <c r="CE64" s="137">
        <v>16</v>
      </c>
      <c r="CF64" s="85">
        <v>0</v>
      </c>
      <c r="CG64" s="174">
        <f>MAX(('Table 7-10-OptionBudget'!$D$45/100)*(CO63+CF64+CH64+CI64+CJ64),0)</f>
        <v>23782.037865779424</v>
      </c>
      <c r="CH64" s="300">
        <f t="shared" si="102"/>
        <v>-68381.722362125758</v>
      </c>
      <c r="CI64" s="300">
        <f t="shared" si="103"/>
        <v>-2195.9163145132397</v>
      </c>
      <c r="CJ64" s="300">
        <f>-'Tables 26a,b-MasterInputs'!$F71*CF64</f>
        <v>0</v>
      </c>
      <c r="CK64" s="85">
        <f t="shared" si="83"/>
        <v>888591.13918817253</v>
      </c>
      <c r="CL64" s="85">
        <f>-CK64*'Tables 26a,b-MasterInputs'!$I71</f>
        <v>-6904.3531514921006</v>
      </c>
      <c r="CM64" s="85">
        <f t="shared" si="84"/>
        <v>881686.78603668045</v>
      </c>
      <c r="CN64" s="85">
        <f>-CM64*'Tables 26a,b-MasterInputs'!$J71</f>
        <v>-35267.47144146722</v>
      </c>
      <c r="CO64" s="299">
        <f t="shared" si="85"/>
        <v>846419.31459521328</v>
      </c>
      <c r="CP64" s="107">
        <f>IFERROR(CO64/'Table 12-IUL Census'!$G27,0)</f>
        <v>26.510933003022252</v>
      </c>
      <c r="CQ64" s="88">
        <f>'Table 12-IUL Census'!$F27*(CO63/(CO63+DE63+DU63))</f>
        <v>435.77080894989439</v>
      </c>
      <c r="CR64" s="89">
        <f>'Tables 26a,b-MasterInputs'!$H71</f>
        <v>0</v>
      </c>
      <c r="CS64" s="175">
        <f t="shared" si="86"/>
        <v>0</v>
      </c>
      <c r="CU64" s="137">
        <v>16</v>
      </c>
      <c r="CV64" s="85">
        <v>0</v>
      </c>
      <c r="CW64" s="174">
        <f>MAX(('Table 7-10-OptionBudget'!$D$45/100)*(DE63+CV64+CX64+CY64+CZ64),0)</f>
        <v>24340.831826644484</v>
      </c>
      <c r="CX64" s="300">
        <f t="shared" si="104"/>
        <v>-69988.451512300511</v>
      </c>
      <c r="CY64" s="300">
        <f t="shared" si="105"/>
        <v>-2247.5125983153412</v>
      </c>
      <c r="CZ64" s="300">
        <f>-'Tables 26a,b-MasterInputs'!$F71*CV64</f>
        <v>0</v>
      </c>
      <c r="DA64" s="85">
        <f t="shared" si="92"/>
        <v>909469.89503991732</v>
      </c>
      <c r="DB64" s="85">
        <f>-DA64*'Tables 26a,b-MasterInputs'!$I71</f>
        <v>-7066.5810844601574</v>
      </c>
      <c r="DC64" s="85">
        <f t="shared" si="93"/>
        <v>902403.31395545718</v>
      </c>
      <c r="DD64" s="85">
        <f>-DC64*'Tables 26a,b-MasterInputs'!$J71</f>
        <v>-36096.132558218291</v>
      </c>
      <c r="DE64" s="299">
        <f t="shared" si="94"/>
        <v>866307.18139723886</v>
      </c>
      <c r="DF64" s="107">
        <f>IFERROR(DE64/'Table 12-IUL Census'!$G27,0)</f>
        <v>27.133846369092684</v>
      </c>
      <c r="DG64" s="88">
        <f>'Table 12-IUL Census'!$F27*(DE63/(CO63+DE63+DU63))</f>
        <v>446.00988508528616</v>
      </c>
      <c r="DH64" s="89">
        <f>'Tables 26a,b-MasterInputs'!$H71</f>
        <v>0</v>
      </c>
      <c r="DI64" s="175">
        <f t="shared" si="87"/>
        <v>0</v>
      </c>
      <c r="DK64" s="137">
        <v>16</v>
      </c>
      <c r="DL64" s="85">
        <v>0</v>
      </c>
      <c r="DM64" s="174">
        <f>MAX(('Table 7-10-OptionBudget'!$D$45/100)*(DU63+DL64+DN64+DO64+DP64),0)</f>
        <v>24477.735787759215</v>
      </c>
      <c r="DN64" s="300">
        <f t="shared" si="106"/>
        <v>-70382.09854591715</v>
      </c>
      <c r="DO64" s="300">
        <f t="shared" si="107"/>
        <v>-2260.1536362041043</v>
      </c>
      <c r="DP64" s="300">
        <f>-'Tables 26a,b-MasterInputs'!$F71*DL64</f>
        <v>0</v>
      </c>
      <c r="DQ64" s="85">
        <f t="shared" si="95"/>
        <v>914585.16932603554</v>
      </c>
      <c r="DR64" s="85">
        <f>-DQ64*'Tables 26a,b-MasterInputs'!$I71</f>
        <v>-7106.3267656632961</v>
      </c>
      <c r="DS64" s="85">
        <f t="shared" si="96"/>
        <v>907478.8425603722</v>
      </c>
      <c r="DT64" s="85">
        <f>-DS64*'Tables 26a,b-MasterInputs'!$J71</f>
        <v>-36299.153702414886</v>
      </c>
      <c r="DU64" s="299">
        <f t="shared" si="97"/>
        <v>871179.68885795726</v>
      </c>
      <c r="DV64" s="107">
        <f>IFERROR(DU64/'Table 12-IUL Census'!$G27,0)</f>
        <v>27.286459520305574</v>
      </c>
      <c r="DW64" s="88">
        <f>'Table 12-IUL Census'!$F27*(DU63/(CO63+DE63+DU63))</f>
        <v>448.5184484901597</v>
      </c>
      <c r="DX64" s="89">
        <f>'Tables 26a,b-MasterInputs'!$H71</f>
        <v>0</v>
      </c>
      <c r="DY64" s="175">
        <f t="shared" si="88"/>
        <v>0</v>
      </c>
      <c r="EJ64" s="88"/>
      <c r="EK64" s="88"/>
      <c r="EL64" s="88"/>
      <c r="EM64" s="88"/>
      <c r="EN64" s="88"/>
      <c r="EO64" s="85"/>
      <c r="EP64" s="85"/>
      <c r="EQ64" s="85"/>
    </row>
    <row r="65" spans="1:202" x14ac:dyDescent="0.25">
      <c r="A65" s="137">
        <v>17</v>
      </c>
      <c r="B65" s="85">
        <v>0</v>
      </c>
      <c r="C65" s="174">
        <f>MAX(('Table 7-10-OptionBudget'!$D$45/100)*(K64+B65+D65+E65+F65),0)</f>
        <v>0</v>
      </c>
      <c r="D65" s="174">
        <f>MAX(-'Tables 26a,b-MasterInputs'!$E72*('Table 12-IUL Census'!$G27*1000/(1+('Tables 26a,b-MasterInputs'!E47))-(K64+B65+E65+F65)),-K64-E65)*IF(G64=0,0,1)</f>
        <v>0</v>
      </c>
      <c r="E65" s="174">
        <f>-'Tables 26a,b-MasterInputs'!$G72*'Table 12-IUL Census'!$D27*IF(G64=0,0,1)</f>
        <v>0</v>
      </c>
      <c r="F65" s="174">
        <f>-'Tables 26a,b-MasterInputs'!$F72*B65</f>
        <v>0</v>
      </c>
      <c r="G65" s="85">
        <f t="shared" si="64"/>
        <v>0</v>
      </c>
      <c r="H65" s="85">
        <f>-G65*'Tables 26a,b-MasterInputs'!$I72</f>
        <v>0</v>
      </c>
      <c r="I65" s="85">
        <f t="shared" si="65"/>
        <v>0</v>
      </c>
      <c r="J65" s="85">
        <f>-I65*'Tables 26a,b-MasterInputs'!$J72</f>
        <v>0</v>
      </c>
      <c r="K65" s="299">
        <f t="shared" si="66"/>
        <v>0</v>
      </c>
      <c r="L65" s="107">
        <f>IFERROR(K65/'Table 12-IUL Census'!$G28,0)</f>
        <v>0</v>
      </c>
      <c r="M65" s="88">
        <f>'Table 12-IUL Census'!$F28</f>
        <v>1266.2574775648561</v>
      </c>
      <c r="N65" s="89">
        <f>'Tables 26a,b-MasterInputs'!$H72</f>
        <v>0</v>
      </c>
      <c r="O65" s="175">
        <f t="shared" si="67"/>
        <v>0</v>
      </c>
      <c r="R65" s="137">
        <v>17</v>
      </c>
      <c r="S65" s="85">
        <v>0</v>
      </c>
      <c r="T65" s="174">
        <f>MAX(('Table 7-10-OptionBudget'!$D$45/100)*(AB64+S65+U65+V65+W65),0)</f>
        <v>17755.22157919185</v>
      </c>
      <c r="U65" s="174">
        <f>MAX(-'Tables 26a,b-MasterInputs'!$E72*('Table 12-IUL Census'!$G27*1000/(1+('Tables 26a,b-MasterInputs'!E47))-(AB64+S65+V65+W65)),-AB64-V65)*IF(AB64&lt;=0,0,1)</f>
        <v>-231034.25006482218</v>
      </c>
      <c r="V65" s="174">
        <f>-'Tables 26a,b-MasterInputs'!$G72*'Table 12-IUL Census'!$D27</f>
        <v>-6385.4358841216326</v>
      </c>
      <c r="W65" s="174">
        <f>-'Tables 26a,b-MasterInputs'!$F72*S65</f>
        <v>0</v>
      </c>
      <c r="X65" s="85">
        <f t="shared" si="68"/>
        <v>663405.4095210497</v>
      </c>
      <c r="Y65" s="85">
        <f>-X65*'Tables 26a,b-MasterInputs'!$I72</f>
        <v>-5625.6778727385017</v>
      </c>
      <c r="Z65" s="85">
        <f t="shared" si="69"/>
        <v>657779.73164831125</v>
      </c>
      <c r="AA65" s="85">
        <f>-Z65*'Tables 26a,b-MasterInputs'!$J72</f>
        <v>-26311.189265932451</v>
      </c>
      <c r="AB65" s="299">
        <f t="shared" si="70"/>
        <v>631468.54238237883</v>
      </c>
      <c r="AC65" s="107">
        <f>IFERROR(AB65/'Table 12-IUL Census'!$G28,0)</f>
        <v>20.778703961955355</v>
      </c>
      <c r="AD65" s="88">
        <f>'Table 12-IUL Census'!$F28</f>
        <v>1266.2574775648561</v>
      </c>
      <c r="AE65" s="89">
        <f>'Tables 26a,b-MasterInputs'!$H72</f>
        <v>0</v>
      </c>
      <c r="AF65" s="175">
        <f t="shared" si="71"/>
        <v>0</v>
      </c>
      <c r="AG65" s="303">
        <f t="shared" ca="1" si="72"/>
        <v>0</v>
      </c>
      <c r="AH65" s="137">
        <v>17</v>
      </c>
      <c r="AI65" s="85">
        <v>0</v>
      </c>
      <c r="AJ65" s="174">
        <f>MAX(('Table 7-10-OptionBudget'!$D$45/100)*(AR64+AI65+AK65+AL65+AM65),0)</f>
        <v>8774.5255968831316</v>
      </c>
      <c r="AK65" s="300">
        <f t="shared" si="98"/>
        <v>-114175.76130541027</v>
      </c>
      <c r="AL65" s="300">
        <f t="shared" si="99"/>
        <v>-3155.6446852876452</v>
      </c>
      <c r="AM65" s="300">
        <f>-'Tables 26a,b-MasterInputs'!$F72*AI65</f>
        <v>0</v>
      </c>
      <c r="AN65" s="85">
        <f t="shared" si="73"/>
        <v>327851.03362354886</v>
      </c>
      <c r="AO65" s="85">
        <f>-AN65*'Tables 26a,b-MasterInputs'!$I72</f>
        <v>-2780.1767651276941</v>
      </c>
      <c r="AP65" s="85">
        <f t="shared" si="74"/>
        <v>325070.85685842118</v>
      </c>
      <c r="AQ65" s="85">
        <f>-AP65*'Tables 26a,b-MasterInputs'!$J72</f>
        <v>-13002.834274336847</v>
      </c>
      <c r="AR65" s="299">
        <f t="shared" si="75"/>
        <v>312068.0225840843</v>
      </c>
      <c r="AS65" s="107">
        <f>IFERROR(AR65/'Table 12-IUL Census'!$G28,0)</f>
        <v>10.268712726058405</v>
      </c>
      <c r="AT65" s="88">
        <f>'Table 12-IUL Census'!$F28*(AR64/($AR64+$BH64))</f>
        <v>625.77696367128112</v>
      </c>
      <c r="AU65" s="89">
        <f>'Tables 26a,b-MasterInputs'!$H72</f>
        <v>0</v>
      </c>
      <c r="AV65" s="175">
        <f t="shared" si="76"/>
        <v>0</v>
      </c>
      <c r="AW65" s="120"/>
      <c r="AX65" s="137">
        <v>17</v>
      </c>
      <c r="AY65" s="85">
        <v>0</v>
      </c>
      <c r="AZ65" s="174">
        <f>MAX(('Table 7-10-OptionBudget'!$D$45/100)*(BH64+AY65+BA65+BB65+BC65),0)</f>
        <v>8980.6959823087382</v>
      </c>
      <c r="BA65" s="300">
        <f t="shared" si="100"/>
        <v>-116858.48875941192</v>
      </c>
      <c r="BB65" s="300">
        <f t="shared" si="101"/>
        <v>-3229.7911988339874</v>
      </c>
      <c r="BC65" s="300">
        <f>-'Tables 26a,b-MasterInputs'!$F72*AY65</f>
        <v>0</v>
      </c>
      <c r="BD65" s="85">
        <f t="shared" si="89"/>
        <v>335554.3758975016</v>
      </c>
      <c r="BE65" s="85">
        <f>-BD65*'Tables 26a,b-MasterInputs'!$I72</f>
        <v>-2845.5011076108135</v>
      </c>
      <c r="BF65" s="85">
        <f t="shared" si="90"/>
        <v>332708.87478989077</v>
      </c>
      <c r="BG65" s="85">
        <f>-BF65*'Tables 26a,b-MasterInputs'!$J72</f>
        <v>-13308.354991595632</v>
      </c>
      <c r="BH65" s="299">
        <f t="shared" si="91"/>
        <v>319400.51979829516</v>
      </c>
      <c r="BI65" s="107">
        <f>IFERROR(BH65/'Table 12-IUL Census'!$G28,0)</f>
        <v>10.509991235896969</v>
      </c>
      <c r="BJ65" s="88">
        <f>'Table 12-IUL Census'!$F28*(BH64/($AR64+$BH64))</f>
        <v>640.48051389357499</v>
      </c>
      <c r="BK65" s="89">
        <f>'Tables 26a,b-MasterInputs'!$H72</f>
        <v>0</v>
      </c>
      <c r="BL65" s="175">
        <f t="shared" si="77"/>
        <v>0</v>
      </c>
      <c r="BO65" s="137">
        <v>17</v>
      </c>
      <c r="BP65" s="85">
        <v>0</v>
      </c>
      <c r="BQ65" s="174">
        <f>MAX(('Table 7-10-OptionBudget'!$D$45/100)*(BY64+BP65+BR65+BS65+BT65),0)</f>
        <v>64884.770695533713</v>
      </c>
      <c r="BR65" s="174">
        <f>MAX(-'Tables 26a,b-MasterInputs'!$E72*('Table 12-IUL Census'!$G27*1000/(1+('Tables 26a,b-MasterInputs'!E47))-(BY64+BP65+BS65+BT65)),-BY64-BS65)*IF(BU64=0,0,1)</f>
        <v>-218053.46733957843</v>
      </c>
      <c r="BS65" s="174">
        <f>-'Tables 26a,b-MasterInputs'!$G72*'Table 12-IUL Census'!$D27</f>
        <v>-6385.4358841216326</v>
      </c>
      <c r="BT65" s="174">
        <f>-'Tables 26a,b-MasterInputs'!$F72*BP65</f>
        <v>0</v>
      </c>
      <c r="BU65" s="85">
        <f t="shared" si="78"/>
        <v>2424352.0523222443</v>
      </c>
      <c r="BV65" s="85">
        <f>-BU65*'Tables 26a,b-MasterInputs'!$I72</f>
        <v>-20558.50540369263</v>
      </c>
      <c r="BW65" s="85">
        <f t="shared" si="79"/>
        <v>2403793.5469185514</v>
      </c>
      <c r="BX65" s="85">
        <f>-BW65*'Tables 26a,b-MasterInputs'!$J72</f>
        <v>-96151.74187674206</v>
      </c>
      <c r="BY65" s="299">
        <f t="shared" si="80"/>
        <v>2307641.8050418096</v>
      </c>
      <c r="BZ65" s="107">
        <f>IFERROR(BY65/'Table 12-IUL Census'!$G28,0)</f>
        <v>75.933799863240978</v>
      </c>
      <c r="CA65" s="88">
        <f>'Table 12-IUL Census'!$F28</f>
        <v>1266.2574775648561</v>
      </c>
      <c r="CB65" s="89">
        <f>'Tables 26a,b-MasterInputs'!$H72</f>
        <v>0</v>
      </c>
      <c r="CC65" s="175">
        <f t="shared" si="81"/>
        <v>0</v>
      </c>
      <c r="CD65" s="303">
        <f t="shared" ca="1" si="82"/>
        <v>0</v>
      </c>
      <c r="CE65" s="137">
        <v>17</v>
      </c>
      <c r="CF65" s="85">
        <v>0</v>
      </c>
      <c r="CG65" s="174">
        <f>MAX(('Table 7-10-OptionBudget'!$D$45/100)*(CO64+CF65+CH65+CI65+CJ65),0)</f>
        <v>21254.534495787309</v>
      </c>
      <c r="CH65" s="300">
        <f t="shared" si="102"/>
        <v>-71428.547774988474</v>
      </c>
      <c r="CI65" s="300">
        <f t="shared" si="103"/>
        <v>-2091.6998829594932</v>
      </c>
      <c r="CJ65" s="300">
        <f>-'Tables 26a,b-MasterInputs'!$F72*CF65</f>
        <v>0</v>
      </c>
      <c r="CK65" s="85">
        <f t="shared" si="83"/>
        <v>794153.60143305256</v>
      </c>
      <c r="CL65" s="85">
        <f>-CK65*'Tables 26a,b-MasterInputs'!$I72</f>
        <v>-6734.4225401522854</v>
      </c>
      <c r="CM65" s="85">
        <f t="shared" si="84"/>
        <v>787419.17889290024</v>
      </c>
      <c r="CN65" s="85">
        <f>-CM65*'Tables 26a,b-MasterInputs'!$J72</f>
        <v>-31496.76715571601</v>
      </c>
      <c r="CO65" s="299">
        <f t="shared" si="85"/>
        <v>755922.41173718427</v>
      </c>
      <c r="CP65" s="107">
        <f>IFERROR(CO65/'Table 12-IUL Census'!$G28,0)</f>
        <v>24.873904173334136</v>
      </c>
      <c r="CQ65" s="88">
        <f>'Table 12-IUL Census'!$F28*(CO64/(CO64+DE64+DU64))</f>
        <v>414.79245359039925</v>
      </c>
      <c r="CR65" s="89">
        <f>'Tables 26a,b-MasterInputs'!$H72</f>
        <v>0</v>
      </c>
      <c r="CS65" s="175">
        <f t="shared" si="86"/>
        <v>0</v>
      </c>
      <c r="CU65" s="137">
        <v>17</v>
      </c>
      <c r="CV65" s="85">
        <v>0</v>
      </c>
      <c r="CW65" s="174">
        <f>MAX(('Table 7-10-OptionBudget'!$D$45/100)*(DE64+CV65+CX65+CY65+CZ65),0)</f>
        <v>21753.941047247477</v>
      </c>
      <c r="CX65" s="300">
        <f t="shared" si="104"/>
        <v>-73106.866569840713</v>
      </c>
      <c r="CY65" s="300">
        <f t="shared" si="105"/>
        <v>-2140.8474484093731</v>
      </c>
      <c r="CZ65" s="300">
        <f>-'Tables 26a,b-MasterInputs'!$F72*CV65</f>
        <v>0</v>
      </c>
      <c r="DA65" s="85">
        <f t="shared" si="92"/>
        <v>812813.40842623624</v>
      </c>
      <c r="DB65" s="85">
        <f>-DA65*'Tables 26a,b-MasterInputs'!$I72</f>
        <v>-6892.6577034544835</v>
      </c>
      <c r="DC65" s="85">
        <f t="shared" si="93"/>
        <v>805920.75072278176</v>
      </c>
      <c r="DD65" s="85">
        <f>-DC65*'Tables 26a,b-MasterInputs'!$J72</f>
        <v>-32236.83002891127</v>
      </c>
      <c r="DE65" s="299">
        <f t="shared" si="94"/>
        <v>773683.92069387052</v>
      </c>
      <c r="DF65" s="107">
        <f>IFERROR(DE65/'Table 12-IUL Census'!$G28,0)</f>
        <v>25.458353139130949</v>
      </c>
      <c r="DG65" s="88">
        <f>'Table 12-IUL Census'!$F28*(DE64/(CO64+DE64+DU64))</f>
        <v>424.53861240937232</v>
      </c>
      <c r="DH65" s="89">
        <f>'Tables 26a,b-MasterInputs'!$H72</f>
        <v>0</v>
      </c>
      <c r="DI65" s="175">
        <f t="shared" si="87"/>
        <v>0</v>
      </c>
      <c r="DK65" s="137">
        <v>17</v>
      </c>
      <c r="DL65" s="85">
        <v>0</v>
      </c>
      <c r="DM65" s="174">
        <f>MAX(('Table 7-10-OptionBudget'!$D$45/100)*(DU64+DL65+DN65+DO65+DP65),0)</f>
        <v>21876.2951524989</v>
      </c>
      <c r="DN65" s="300">
        <f t="shared" si="106"/>
        <v>-73518.052994749218</v>
      </c>
      <c r="DO65" s="300">
        <f t="shared" si="107"/>
        <v>-2152.8885527527659</v>
      </c>
      <c r="DP65" s="300">
        <f>-'Tables 26a,b-MasterInputs'!$F72*DL65</f>
        <v>0</v>
      </c>
      <c r="DQ65" s="85">
        <f t="shared" si="95"/>
        <v>817385.04246295418</v>
      </c>
      <c r="DR65" s="85">
        <f>-DQ65*'Tables 26a,b-MasterInputs'!$I72</f>
        <v>-6931.4251600858515</v>
      </c>
      <c r="DS65" s="85">
        <f t="shared" si="96"/>
        <v>810453.61730286828</v>
      </c>
      <c r="DT65" s="85">
        <f>-DS65*'Tables 26a,b-MasterInputs'!$J72</f>
        <v>-32418.144692114733</v>
      </c>
      <c r="DU65" s="299">
        <f t="shared" si="97"/>
        <v>778035.4726107535</v>
      </c>
      <c r="DV65" s="107">
        <f>IFERROR(DU65/'Table 12-IUL Census'!$G28,0)</f>
        <v>25.601542550775843</v>
      </c>
      <c r="DW65" s="88">
        <f>'Table 12-IUL Census'!$F28*(DU64/(CO64+DE64+DU64))</f>
        <v>426.92641156508444</v>
      </c>
      <c r="DX65" s="89">
        <f>'Tables 26a,b-MasterInputs'!$H72</f>
        <v>0</v>
      </c>
      <c r="DY65" s="175">
        <f t="shared" si="88"/>
        <v>0</v>
      </c>
      <c r="EJ65" s="88"/>
      <c r="EK65" s="88"/>
      <c r="EL65" s="88"/>
      <c r="EM65" s="88"/>
      <c r="EN65" s="88"/>
      <c r="EO65" s="85"/>
      <c r="EP65" s="85"/>
      <c r="EQ65" s="85"/>
    </row>
    <row r="66" spans="1:202" x14ac:dyDescent="0.25">
      <c r="A66" s="137">
        <v>18</v>
      </c>
      <c r="B66" s="85">
        <v>0</v>
      </c>
      <c r="C66" s="174">
        <f>MAX(('Table 7-10-OptionBudget'!$D$45/100)*(K65+B66+D66+E66+F66),0)</f>
        <v>0</v>
      </c>
      <c r="D66" s="174">
        <f>MAX(-'Tables 26a,b-MasterInputs'!$E73*('Table 12-IUL Census'!$G28*1000/(1+('Tables 26a,b-MasterInputs'!E48))-(K65+B66+E66+F66)),-K65-E66)*IF(G65=0,0,1)</f>
        <v>0</v>
      </c>
      <c r="E66" s="174">
        <f>-'Tables 26a,b-MasterInputs'!$G73*'Table 12-IUL Census'!$D28*IF(G65=0,0,1)</f>
        <v>0</v>
      </c>
      <c r="F66" s="174">
        <f>-'Tables 26a,b-MasterInputs'!$F73*B66</f>
        <v>0</v>
      </c>
      <c r="G66" s="85">
        <f t="shared" si="64"/>
        <v>0</v>
      </c>
      <c r="H66" s="85">
        <f>-G66*'Tables 26a,b-MasterInputs'!$I73</f>
        <v>0</v>
      </c>
      <c r="I66" s="85">
        <f t="shared" si="65"/>
        <v>0</v>
      </c>
      <c r="J66" s="85">
        <f>-I66*'Tables 26a,b-MasterInputs'!$J73</f>
        <v>0</v>
      </c>
      <c r="K66" s="299">
        <f t="shared" si="66"/>
        <v>0</v>
      </c>
      <c r="L66" s="107">
        <f>IFERROR(K66/'Table 12-IUL Census'!$G29,0)</f>
        <v>0</v>
      </c>
      <c r="M66" s="88">
        <f>'Table 12-IUL Census'!$F29</f>
        <v>1204.3020317025628</v>
      </c>
      <c r="N66" s="89">
        <f>'Tables 26a,b-MasterInputs'!$H73</f>
        <v>0</v>
      </c>
      <c r="O66" s="175">
        <f t="shared" si="67"/>
        <v>0</v>
      </c>
      <c r="R66" s="137">
        <v>18</v>
      </c>
      <c r="S66" s="85">
        <v>0</v>
      </c>
      <c r="T66" s="174">
        <f>MAX(('Table 7-10-OptionBudget'!$D$45/100)*(AB65+S66+U66+V66+W66),0)</f>
        <v>10517.645896107018</v>
      </c>
      <c r="U66" s="174">
        <f>MAX(-'Tables 26a,b-MasterInputs'!$E73*('Table 12-IUL Census'!$G28*1000/(1+('Tables 26a,b-MasterInputs'!E48))-(AB65+S66+V66+W66)),-AB65-V66)*IF(AB65&lt;=0,0,1)</f>
        <v>-242927.2396004129</v>
      </c>
      <c r="V66" s="174">
        <f>-'Tables 26a,b-MasterInputs'!$G73*'Table 12-IUL Census'!$D28</f>
        <v>-6078.035892311309</v>
      </c>
      <c r="W66" s="174">
        <f>-'Tables 26a,b-MasterInputs'!$F73*S66</f>
        <v>0</v>
      </c>
      <c r="X66" s="85">
        <f t="shared" si="68"/>
        <v>392980.91278576164</v>
      </c>
      <c r="Y66" s="85">
        <f>-X66*'Tables 26a,b-MasterInputs'!$I73</f>
        <v>-3654.7224889075828</v>
      </c>
      <c r="Z66" s="85">
        <f t="shared" si="69"/>
        <v>389326.19029685407</v>
      </c>
      <c r="AA66" s="85">
        <f>-Z66*'Tables 26a,b-MasterInputs'!$J73</f>
        <v>-15573.047611874163</v>
      </c>
      <c r="AB66" s="299">
        <f t="shared" si="70"/>
        <v>373753.14268497989</v>
      </c>
      <c r="AC66" s="107">
        <f>IFERROR(AB66/'Table 12-IUL Census'!$G29,0)</f>
        <v>12.931181050868132</v>
      </c>
      <c r="AD66" s="88">
        <f>'Table 12-IUL Census'!$F29</f>
        <v>1204.3020317025628</v>
      </c>
      <c r="AE66" s="89">
        <f>'Tables 26a,b-MasterInputs'!$H73</f>
        <v>0</v>
      </c>
      <c r="AF66" s="175">
        <f t="shared" si="71"/>
        <v>0</v>
      </c>
      <c r="AG66" s="303">
        <f t="shared" ca="1" si="72"/>
        <v>6.9849193096160889E-10</v>
      </c>
      <c r="AH66" s="137">
        <v>18</v>
      </c>
      <c r="AI66" s="85">
        <v>0</v>
      </c>
      <c r="AJ66" s="174">
        <f>MAX(('Table 7-10-OptionBudget'!$D$45/100)*(AR65+AI66+AK66+AL66+AM66),0)</f>
        <v>5197.7584578555561</v>
      </c>
      <c r="AK66" s="300">
        <f t="shared" si="98"/>
        <v>-120053.20646361672</v>
      </c>
      <c r="AL66" s="300">
        <f t="shared" si="99"/>
        <v>-3003.7294256221489</v>
      </c>
      <c r="AM66" s="300">
        <f>-'Tables 26a,b-MasterInputs'!$F73*AI66</f>
        <v>0</v>
      </c>
      <c r="AN66" s="85">
        <f t="shared" si="73"/>
        <v>194208.84515270099</v>
      </c>
      <c r="AO66" s="85">
        <f>-AN66*'Tables 26a,b-MasterInputs'!$I73</f>
        <v>-1806.1422599201192</v>
      </c>
      <c r="AP66" s="85">
        <f t="shared" si="74"/>
        <v>192402.70289278086</v>
      </c>
      <c r="AQ66" s="85">
        <f>-AP66*'Tables 26a,b-MasterInputs'!$J73</f>
        <v>-7696.1081157112349</v>
      </c>
      <c r="AR66" s="299">
        <f t="shared" si="75"/>
        <v>184706.59477706964</v>
      </c>
      <c r="AS66" s="107">
        <f>IFERROR(AR66/'Table 12-IUL Census'!$G29,0)</f>
        <v>6.3905132708536492</v>
      </c>
      <c r="AT66" s="88">
        <f>'Table 12-IUL Census'!$F29*(AR65/($AR65+$BH65))</f>
        <v>595.15894839277269</v>
      </c>
      <c r="AU66" s="89">
        <f>'Tables 26a,b-MasterInputs'!$H73</f>
        <v>0</v>
      </c>
      <c r="AV66" s="175">
        <f t="shared" si="76"/>
        <v>0</v>
      </c>
      <c r="AW66" s="120"/>
      <c r="AX66" s="137">
        <v>18</v>
      </c>
      <c r="AY66" s="85">
        <v>0</v>
      </c>
      <c r="AZ66" s="174">
        <f>MAX(('Table 7-10-OptionBudget'!$D$45/100)*(BH65+AY66+BA66+BB66+BC66),0)</f>
        <v>5319.8874382514814</v>
      </c>
      <c r="BA66" s="300">
        <f t="shared" si="100"/>
        <v>-122874.03313679615</v>
      </c>
      <c r="BB66" s="300">
        <f t="shared" si="101"/>
        <v>-3074.3064666891592</v>
      </c>
      <c r="BC66" s="300">
        <f>-'Tables 26a,b-MasterInputs'!$F73*AY66</f>
        <v>0</v>
      </c>
      <c r="BD66" s="85">
        <f t="shared" si="89"/>
        <v>198772.06763306132</v>
      </c>
      <c r="BE66" s="85">
        <f>-BD66*'Tables 26a,b-MasterInputs'!$I73</f>
        <v>-1848.58022898747</v>
      </c>
      <c r="BF66" s="85">
        <f t="shared" si="90"/>
        <v>196923.48740407385</v>
      </c>
      <c r="BG66" s="85">
        <f>-BF66*'Tables 26a,b-MasterInputs'!$J73</f>
        <v>-7876.9394961629541</v>
      </c>
      <c r="BH66" s="299">
        <f t="shared" si="91"/>
        <v>189046.54790791089</v>
      </c>
      <c r="BI66" s="107">
        <f>IFERROR(BH66/'Table 12-IUL Census'!$G29,0)</f>
        <v>6.5406677800145046</v>
      </c>
      <c r="BJ66" s="88">
        <f>'Table 12-IUL Census'!$F29*(BH65/($AR65+$BH65))</f>
        <v>609.14308330978997</v>
      </c>
      <c r="BK66" s="89">
        <f>'Tables 26a,b-MasterInputs'!$H73</f>
        <v>0</v>
      </c>
      <c r="BL66" s="175">
        <f t="shared" si="77"/>
        <v>0</v>
      </c>
      <c r="BO66" s="137">
        <v>18</v>
      </c>
      <c r="BP66" s="85">
        <v>0</v>
      </c>
      <c r="BQ66" s="174">
        <f>MAX(('Table 7-10-OptionBudget'!$D$45/100)*(BY65+BP66+BR66+BS66+BT66),0)</f>
        <v>56997.808640285781</v>
      </c>
      <c r="BR66" s="174">
        <f>MAX(-'Tables 26a,b-MasterInputs'!$E73*('Table 12-IUL Census'!$G28*1000/(1+('Tables 26a,b-MasterInputs'!E48))-(BY65+BP66+BS66+BT66)),-BY65-BS66)*IF(BU65=0,0,1)</f>
        <v>-228897.66939195347</v>
      </c>
      <c r="BS66" s="174">
        <f>-'Tables 26a,b-MasterInputs'!$G73*'Table 12-IUL Census'!$D28</f>
        <v>-6078.035892311309</v>
      </c>
      <c r="BT66" s="174">
        <f>-'Tables 26a,b-MasterInputs'!$F73*BP66</f>
        <v>0</v>
      </c>
      <c r="BU66" s="85">
        <f t="shared" si="78"/>
        <v>2129663.9083978306</v>
      </c>
      <c r="BV66" s="85">
        <f>-BU66*'Tables 26a,b-MasterInputs'!$I73</f>
        <v>-19805.874348099824</v>
      </c>
      <c r="BW66" s="85">
        <f t="shared" si="79"/>
        <v>2109858.0340497307</v>
      </c>
      <c r="BX66" s="85">
        <f>-BW66*'Tables 26a,b-MasterInputs'!$J73</f>
        <v>-84394.321361989234</v>
      </c>
      <c r="BY66" s="299">
        <f t="shared" si="80"/>
        <v>2025463.7126877415</v>
      </c>
      <c r="BZ66" s="107">
        <f>IFERROR(BY66/'Table 12-IUL Census'!$G29,0)</f>
        <v>70.077371905350148</v>
      </c>
      <c r="CA66" s="88">
        <f>'Table 12-IUL Census'!$F29</f>
        <v>1204.3020317025628</v>
      </c>
      <c r="CB66" s="89">
        <f>'Tables 26a,b-MasterInputs'!$H73</f>
        <v>0</v>
      </c>
      <c r="CC66" s="175">
        <f t="shared" si="81"/>
        <v>0</v>
      </c>
      <c r="CD66" s="303">
        <f t="shared" ca="1" si="82"/>
        <v>0</v>
      </c>
      <c r="CE66" s="137">
        <v>18</v>
      </c>
      <c r="CF66" s="85">
        <v>0</v>
      </c>
      <c r="CG66" s="174">
        <f>MAX(('Table 7-10-OptionBudget'!$D$45/100)*(CO65+CF66+CH66+CI66+CJ66),0)</f>
        <v>18670.974358743133</v>
      </c>
      <c r="CH66" s="300">
        <f t="shared" si="102"/>
        <v>-74980.821507803863</v>
      </c>
      <c r="CI66" s="300">
        <f t="shared" si="103"/>
        <v>-1991.0037772339167</v>
      </c>
      <c r="CJ66" s="300">
        <f>-'Tables 26a,b-MasterInputs'!$F73*CF66</f>
        <v>0</v>
      </c>
      <c r="CK66" s="85">
        <f t="shared" si="83"/>
        <v>697621.56081088958</v>
      </c>
      <c r="CL66" s="85">
        <f>-CK66*'Tables 26a,b-MasterInputs'!$I73</f>
        <v>-6487.8805155412729</v>
      </c>
      <c r="CM66" s="85">
        <f t="shared" si="84"/>
        <v>691133.68029534828</v>
      </c>
      <c r="CN66" s="85">
        <f>-CM66*'Tables 26a,b-MasterInputs'!$J73</f>
        <v>-27645.347211813933</v>
      </c>
      <c r="CO66" s="299">
        <f t="shared" si="85"/>
        <v>663488.33308353438</v>
      </c>
      <c r="CP66" s="107">
        <f>IFERROR(CO66/'Table 12-IUL Census'!$G29,0)</f>
        <v>22.955493293265295</v>
      </c>
      <c r="CQ66" s="88">
        <f>'Table 12-IUL Census'!$F29*(CO65/(CO65+DE65+DU65))</f>
        <v>394.49748842112825</v>
      </c>
      <c r="CR66" s="89">
        <f>'Tables 26a,b-MasterInputs'!$H73</f>
        <v>0</v>
      </c>
      <c r="CS66" s="175">
        <f t="shared" si="86"/>
        <v>0</v>
      </c>
      <c r="CU66" s="137">
        <v>18</v>
      </c>
      <c r="CV66" s="85">
        <v>0</v>
      </c>
      <c r="CW66" s="174">
        <f>MAX(('Table 7-10-OptionBudget'!$D$45/100)*(DE65+CV66+CX66+CY66+CZ66),0)</f>
        <v>19109.676364602128</v>
      </c>
      <c r="CX66" s="300">
        <f t="shared" si="104"/>
        <v>-76742.606199079266</v>
      </c>
      <c r="CY66" s="300">
        <f t="shared" si="105"/>
        <v>-2037.7853395649872</v>
      </c>
      <c r="CZ66" s="300">
        <f>-'Tables 26a,b-MasterInputs'!$F73*CV66</f>
        <v>0</v>
      </c>
      <c r="DA66" s="85">
        <f t="shared" si="92"/>
        <v>714013.20551982836</v>
      </c>
      <c r="DB66" s="85">
        <f>-DA66*'Tables 26a,b-MasterInputs'!$I73</f>
        <v>-6640.322811334403</v>
      </c>
      <c r="DC66" s="85">
        <f t="shared" si="93"/>
        <v>707372.88270849397</v>
      </c>
      <c r="DD66" s="85">
        <f>-DC66*'Tables 26a,b-MasterInputs'!$J73</f>
        <v>-28294.915308339758</v>
      </c>
      <c r="DE66" s="299">
        <f t="shared" si="94"/>
        <v>679077.96740015422</v>
      </c>
      <c r="DF66" s="107">
        <f>IFERROR(DE66/'Table 12-IUL Census'!$G29,0)</f>
        <v>23.49486637362746</v>
      </c>
      <c r="DG66" s="88">
        <f>'Table 12-IUL Census'!$F29*(DE65/(CO65+DE65+DU65))</f>
        <v>403.76678718140658</v>
      </c>
      <c r="DH66" s="89">
        <f>'Tables 26a,b-MasterInputs'!$H73</f>
        <v>0</v>
      </c>
      <c r="DI66" s="175">
        <f t="shared" si="87"/>
        <v>0</v>
      </c>
      <c r="DK66" s="137">
        <v>18</v>
      </c>
      <c r="DL66" s="85">
        <v>0</v>
      </c>
      <c r="DM66" s="174">
        <f>MAX(('Table 7-10-OptionBudget'!$D$45/100)*(DU65+DL66+DN66+DO66+DP66),0)</f>
        <v>19217.157916940483</v>
      </c>
      <c r="DN66" s="300">
        <f t="shared" si="106"/>
        <v>-77174.241685070359</v>
      </c>
      <c r="DO66" s="300">
        <f t="shared" si="107"/>
        <v>-2049.2467755124053</v>
      </c>
      <c r="DP66" s="300">
        <f>-'Tables 26a,b-MasterInputs'!$F73*DL66</f>
        <v>0</v>
      </c>
      <c r="DQ66" s="85">
        <f t="shared" si="95"/>
        <v>718029.14206711121</v>
      </c>
      <c r="DR66" s="85">
        <f>-DQ66*'Tables 26a,b-MasterInputs'!$I73</f>
        <v>-6677.6710212241342</v>
      </c>
      <c r="DS66" s="85">
        <f t="shared" si="96"/>
        <v>711351.4710458871</v>
      </c>
      <c r="DT66" s="85">
        <f>-DS66*'Tables 26a,b-MasterInputs'!$J73</f>
        <v>-28454.058841835486</v>
      </c>
      <c r="DU66" s="299">
        <f t="shared" si="97"/>
        <v>682897.41220405162</v>
      </c>
      <c r="DV66" s="107">
        <f>IFERROR(DU66/'Table 12-IUL Census'!$G29,0)</f>
        <v>23.627012238457347</v>
      </c>
      <c r="DW66" s="88">
        <f>'Table 12-IUL Census'!$F29*(DU65/(CO65+DE65+DU65))</f>
        <v>406.03775610002799</v>
      </c>
      <c r="DX66" s="89">
        <f>'Tables 26a,b-MasterInputs'!$H73</f>
        <v>0</v>
      </c>
      <c r="DY66" s="175">
        <f t="shared" si="88"/>
        <v>0</v>
      </c>
      <c r="EJ66" s="88"/>
      <c r="EK66" s="88"/>
      <c r="EL66" s="88"/>
      <c r="EM66" s="88"/>
      <c r="EN66" s="88"/>
      <c r="EO66" s="85"/>
      <c r="EP66" s="85"/>
      <c r="EQ66" s="85"/>
    </row>
    <row r="67" spans="1:202" x14ac:dyDescent="0.25">
      <c r="A67" s="137">
        <v>19</v>
      </c>
      <c r="B67" s="85">
        <v>0</v>
      </c>
      <c r="C67" s="174">
        <f>MAX(('Table 7-10-OptionBudget'!$D$45/100)*(K66+B67+D67+E67+F67),0)</f>
        <v>0</v>
      </c>
      <c r="D67" s="174">
        <f>MAX(-'Tables 26a,b-MasterInputs'!$E74*('Table 12-IUL Census'!$G29*1000/(1+('Tables 26a,b-MasterInputs'!E49))-(K66+B67+E67+F67)),-K66-E67)*IF(G66=0,0,1)</f>
        <v>0</v>
      </c>
      <c r="E67" s="174">
        <f>-'Tables 26a,b-MasterInputs'!$G74*'Table 12-IUL Census'!$D29*IF(G66=0,0,1)</f>
        <v>0</v>
      </c>
      <c r="F67" s="174">
        <f>-'Tables 26a,b-MasterInputs'!$F74*B67</f>
        <v>0</v>
      </c>
      <c r="G67" s="85">
        <f t="shared" si="64"/>
        <v>0</v>
      </c>
      <c r="H67" s="85">
        <f>-G67*'Tables 26a,b-MasterInputs'!$I74</f>
        <v>0</v>
      </c>
      <c r="I67" s="85">
        <f t="shared" si="65"/>
        <v>0</v>
      </c>
      <c r="J67" s="85">
        <f>-I67*'Tables 26a,b-MasterInputs'!$J74</f>
        <v>0</v>
      </c>
      <c r="K67" s="299">
        <f t="shared" si="66"/>
        <v>0</v>
      </c>
      <c r="L67" s="107">
        <f>IFERROR(K67/'Table 12-IUL Census'!$G30,0)</f>
        <v>0</v>
      </c>
      <c r="M67" s="88">
        <f>'Table 12-IUL Census'!$F30</f>
        <v>1144.31430234102</v>
      </c>
      <c r="N67" s="89">
        <f>'Tables 26a,b-MasterInputs'!$H74</f>
        <v>0</v>
      </c>
      <c r="O67" s="175">
        <f t="shared" si="67"/>
        <v>0</v>
      </c>
      <c r="R67" s="137">
        <v>19</v>
      </c>
      <c r="S67" s="85">
        <v>0</v>
      </c>
      <c r="T67" s="174">
        <f>MAX(('Table 7-10-OptionBudget'!$D$45/100)*(AB66+S67+U67+V67+W67),0)</f>
        <v>3079.6760133917473</v>
      </c>
      <c r="U67" s="174">
        <f>MAX(-'Tables 26a,b-MasterInputs'!$E74*('Table 12-IUL Census'!$G29*1000/(1+('Tables 26a,b-MasterInputs'!E49))-(AB66+S67+V67+W67)),-AB66-V67)*IF(AB66&lt;=0,0,1)</f>
        <v>-255983.27398795917</v>
      </c>
      <c r="V67" s="174">
        <f>-'Tables 26a,b-MasterInputs'!$G74*'Table 12-IUL Census'!$D29</f>
        <v>-5780.6497521723013</v>
      </c>
      <c r="W67" s="174">
        <f>-'Tables 26a,b-MasterInputs'!$F74*S67</f>
        <v>0</v>
      </c>
      <c r="X67" s="85">
        <f t="shared" si="68"/>
        <v>115068.89495824018</v>
      </c>
      <c r="Y67" s="85">
        <f>-X67*'Tables 26a,b-MasterInputs'!$I74</f>
        <v>-1176.0041064732147</v>
      </c>
      <c r="Z67" s="85">
        <f t="shared" si="69"/>
        <v>113892.89085176696</v>
      </c>
      <c r="AA67" s="85">
        <f>-Z67*'Tables 26a,b-MasterInputs'!$J74</f>
        <v>-4555.7156340706788</v>
      </c>
      <c r="AB67" s="299">
        <f t="shared" si="70"/>
        <v>109337.17521769629</v>
      </c>
      <c r="AC67" s="107">
        <f>IFERROR(AB67/'Table 12-IUL Census'!$G30,0)</f>
        <v>3.9811751236095456</v>
      </c>
      <c r="AD67" s="88">
        <f>'Table 12-IUL Census'!$F30</f>
        <v>1144.31430234102</v>
      </c>
      <c r="AE67" s="89">
        <f>'Tables 26a,b-MasterInputs'!$H74</f>
        <v>0</v>
      </c>
      <c r="AF67" s="175">
        <f t="shared" si="71"/>
        <v>0</v>
      </c>
      <c r="AG67" s="303">
        <f t="shared" ca="1" si="72"/>
        <v>6.1118043959140778E-10</v>
      </c>
      <c r="AH67" s="137">
        <v>19</v>
      </c>
      <c r="AI67" s="85">
        <v>0</v>
      </c>
      <c r="AJ67" s="174">
        <f>MAX(('Table 7-10-OptionBudget'!$D$45/100)*(AR66+AI67+AK67+AL67+AM67),0)</f>
        <v>1521.9576894090769</v>
      </c>
      <c r="AK67" s="300">
        <f t="shared" si="98"/>
        <v>-126505.42151575495</v>
      </c>
      <c r="AL67" s="300">
        <f t="shared" si="99"/>
        <v>-2856.762952285309</v>
      </c>
      <c r="AM67" s="300">
        <f>-'Tables 26a,b-MasterInputs'!$F74*AI67</f>
        <v>0</v>
      </c>
      <c r="AN67" s="85">
        <f t="shared" si="73"/>
        <v>56866.367998438451</v>
      </c>
      <c r="AO67" s="85">
        <f>-AN67*'Tables 26a,b-MasterInputs'!$I74</f>
        <v>-581.17428094404102</v>
      </c>
      <c r="AP67" s="85">
        <f t="shared" si="74"/>
        <v>56285.193717494411</v>
      </c>
      <c r="AQ67" s="85">
        <f>-AP67*'Tables 26a,b-MasterInputs'!$J74</f>
        <v>-2251.4077486997767</v>
      </c>
      <c r="AR67" s="299">
        <f t="shared" si="75"/>
        <v>54033.785968794633</v>
      </c>
      <c r="AS67" s="107">
        <f>IFERROR(AR67/'Table 12-IUL Census'!$G30,0)</f>
        <v>1.9674732231292429</v>
      </c>
      <c r="AT67" s="88">
        <f>'Table 12-IUL Census'!$F30*(AR66/($AR66+$BH66))</f>
        <v>565.51336698259058</v>
      </c>
      <c r="AU67" s="89">
        <f>'Tables 26a,b-MasterInputs'!$H74</f>
        <v>0</v>
      </c>
      <c r="AV67" s="175">
        <f t="shared" si="76"/>
        <v>0</v>
      </c>
      <c r="AW67" s="120"/>
      <c r="AX67" s="137">
        <v>19</v>
      </c>
      <c r="AY67" s="85">
        <v>0</v>
      </c>
      <c r="AZ67" s="174">
        <f>MAX(('Table 7-10-OptionBudget'!$D$45/100)*(BH66+AY67+BA67+BB67+BC67),0)</f>
        <v>1557.7183239826877</v>
      </c>
      <c r="BA67" s="300">
        <f t="shared" si="100"/>
        <v>-129477.85247220423</v>
      </c>
      <c r="BB67" s="300">
        <f t="shared" si="101"/>
        <v>-2923.8867998869928</v>
      </c>
      <c r="BC67" s="300">
        <f>-'Tables 26a,b-MasterInputs'!$F74*AY67</f>
        <v>0</v>
      </c>
      <c r="BD67" s="85">
        <f t="shared" si="89"/>
        <v>58202.526959802344</v>
      </c>
      <c r="BE67" s="85">
        <f>-BD67*'Tables 26a,b-MasterInputs'!$I74</f>
        <v>-594.82982552917997</v>
      </c>
      <c r="BF67" s="85">
        <f t="shared" si="90"/>
        <v>57607.697134273163</v>
      </c>
      <c r="BG67" s="85">
        <f>-BF67*'Tables 26a,b-MasterInputs'!$J74</f>
        <v>-2304.3078853709267</v>
      </c>
      <c r="BH67" s="299">
        <f t="shared" si="91"/>
        <v>55303.38924890224</v>
      </c>
      <c r="BI67" s="107">
        <f>IFERROR(BH67/'Table 12-IUL Census'!$G30,0)</f>
        <v>2.0137019004803238</v>
      </c>
      <c r="BJ67" s="88">
        <f>'Table 12-IUL Census'!$F30*(BH66/($AR66+$BH66))</f>
        <v>578.80093535842946</v>
      </c>
      <c r="BK67" s="89">
        <f>'Tables 26a,b-MasterInputs'!$H74</f>
        <v>0</v>
      </c>
      <c r="BL67" s="175">
        <f t="shared" si="77"/>
        <v>0</v>
      </c>
      <c r="BO67" s="137">
        <v>19</v>
      </c>
      <c r="BP67" s="85">
        <v>0</v>
      </c>
      <c r="BQ67" s="174">
        <f>MAX(('Table 7-10-OptionBudget'!$D$45/100)*(BY66+BP67+BR67+BS67+BT67),0)</f>
        <v>48919.099181979196</v>
      </c>
      <c r="BR67" s="174">
        <f>MAX(-'Tables 26a,b-MasterInputs'!$E74*('Table 12-IUL Census'!$G29*1000/(1+('Tables 26a,b-MasterInputs'!E49))-(BY66+BP67+BS67+BT67)),-BY66-BS67)*IF(BU66=0,0,1)</f>
        <v>-240790.84016507375</v>
      </c>
      <c r="BS67" s="174">
        <f>-'Tables 26a,b-MasterInputs'!$G74*'Table 12-IUL Census'!$D29</f>
        <v>-5780.6497521723013</v>
      </c>
      <c r="BT67" s="174">
        <f>-'Tables 26a,b-MasterInputs'!$F74*BP67</f>
        <v>0</v>
      </c>
      <c r="BU67" s="85">
        <f t="shared" si="78"/>
        <v>1827811.3219524748</v>
      </c>
      <c r="BV67" s="85">
        <f>-BU67*'Tables 26a,b-MasterInputs'!$I74</f>
        <v>-18680.231710354292</v>
      </c>
      <c r="BW67" s="85">
        <f t="shared" si="79"/>
        <v>1809131.0902421204</v>
      </c>
      <c r="BX67" s="85">
        <f>-BW67*'Tables 26a,b-MasterInputs'!$J74</f>
        <v>-72365.243609684825</v>
      </c>
      <c r="BY67" s="299">
        <f t="shared" si="80"/>
        <v>1736765.8466324357</v>
      </c>
      <c r="BZ67" s="107">
        <f>IFERROR(BY67/'Table 12-IUL Census'!$G30,0)</f>
        <v>63.23895756755045</v>
      </c>
      <c r="CA67" s="88">
        <f>'Table 12-IUL Census'!$F30</f>
        <v>1144.31430234102</v>
      </c>
      <c r="CB67" s="89">
        <f>'Tables 26a,b-MasterInputs'!$H74</f>
        <v>0</v>
      </c>
      <c r="CC67" s="175">
        <f t="shared" si="81"/>
        <v>0</v>
      </c>
      <c r="CD67" s="303">
        <f t="shared" ca="1" si="82"/>
        <v>0</v>
      </c>
      <c r="CE67" s="137">
        <v>19</v>
      </c>
      <c r="CF67" s="85">
        <v>0</v>
      </c>
      <c r="CG67" s="174">
        <f>MAX(('Table 7-10-OptionBudget'!$D$45/100)*(CO66+CF67+CH67+CI67+CJ67),0)</f>
        <v>16024.602844713259</v>
      </c>
      <c r="CH67" s="300">
        <f t="shared" si="102"/>
        <v>-78876.709645372233</v>
      </c>
      <c r="CI67" s="300">
        <f t="shared" si="103"/>
        <v>-1893.5879444214152</v>
      </c>
      <c r="CJ67" s="300">
        <f>-'Tables 26a,b-MasterInputs'!$F74*CF67</f>
        <v>0</v>
      </c>
      <c r="CK67" s="85">
        <f t="shared" si="83"/>
        <v>598742.63833845395</v>
      </c>
      <c r="CL67" s="85">
        <f>-CK67*'Tables 26a,b-MasterInputs'!$I74</f>
        <v>-6119.1497638189994</v>
      </c>
      <c r="CM67" s="85">
        <f t="shared" si="84"/>
        <v>592623.488574635</v>
      </c>
      <c r="CN67" s="85">
        <f>-CM67*'Tables 26a,b-MasterInputs'!$J74</f>
        <v>-23704.939542985401</v>
      </c>
      <c r="CO67" s="299">
        <f t="shared" si="85"/>
        <v>568918.5490316496</v>
      </c>
      <c r="CP67" s="107">
        <f>IFERROR(CO67/'Table 12-IUL Census'!$G30,0)</f>
        <v>20.71540965143075</v>
      </c>
      <c r="CQ67" s="88">
        <f>'Table 12-IUL Census'!$F30*(CO66/(CO66+DE66+DU66))</f>
        <v>374.84709512588569</v>
      </c>
      <c r="CR67" s="89">
        <f>'Tables 26a,b-MasterInputs'!$H74</f>
        <v>0</v>
      </c>
      <c r="CS67" s="175">
        <f t="shared" si="86"/>
        <v>0</v>
      </c>
      <c r="CU67" s="137">
        <v>19</v>
      </c>
      <c r="CV67" s="85">
        <v>0</v>
      </c>
      <c r="CW67" s="174">
        <f>MAX(('Table 7-10-OptionBudget'!$D$45/100)*(DE66+CV67+CX67+CY67+CZ67),0)</f>
        <v>16401.124459279006</v>
      </c>
      <c r="CX67" s="300">
        <f t="shared" si="104"/>
        <v>-80730.033958935906</v>
      </c>
      <c r="CY67" s="300">
        <f t="shared" si="105"/>
        <v>-1938.0805784707513</v>
      </c>
      <c r="CZ67" s="300">
        <f>-'Tables 26a,b-MasterInputs'!$F74*CV67</f>
        <v>0</v>
      </c>
      <c r="DA67" s="85">
        <f t="shared" si="92"/>
        <v>612810.97732202662</v>
      </c>
      <c r="DB67" s="85">
        <f>-DA67*'Tables 26a,b-MasterInputs'!$I74</f>
        <v>-6262.9281882311125</v>
      </c>
      <c r="DC67" s="85">
        <f t="shared" si="93"/>
        <v>606548.04913379555</v>
      </c>
      <c r="DD67" s="85">
        <f>-DC67*'Tables 26a,b-MasterInputs'!$J74</f>
        <v>-24261.921965351823</v>
      </c>
      <c r="DE67" s="299">
        <f t="shared" si="94"/>
        <v>582286.12716844375</v>
      </c>
      <c r="DF67" s="107">
        <f>IFERROR(DE67/'Table 12-IUL Census'!$G30,0)</f>
        <v>21.202148671669299</v>
      </c>
      <c r="DG67" s="88">
        <f>'Table 12-IUL Census'!$F30*(DE66/(CO66+DE66+DU66))</f>
        <v>383.65467899175604</v>
      </c>
      <c r="DH67" s="89">
        <f>'Tables 26a,b-MasterInputs'!$H74</f>
        <v>0</v>
      </c>
      <c r="DI67" s="175">
        <f t="shared" si="87"/>
        <v>0</v>
      </c>
      <c r="DK67" s="137">
        <v>19</v>
      </c>
      <c r="DL67" s="85">
        <v>0</v>
      </c>
      <c r="DM67" s="174">
        <f>MAX(('Table 7-10-OptionBudget'!$D$45/100)*(DU66+DL67+DN67+DO67+DP67),0)</f>
        <v>16493.371877986901</v>
      </c>
      <c r="DN67" s="300">
        <f t="shared" si="106"/>
        <v>-81184.096560765582</v>
      </c>
      <c r="DO67" s="300">
        <f t="shared" si="107"/>
        <v>-1948.9812292801341</v>
      </c>
      <c r="DP67" s="300">
        <f>-'Tables 26a,b-MasterInputs'!$F74*DL67</f>
        <v>0</v>
      </c>
      <c r="DQ67" s="85">
        <f t="shared" si="95"/>
        <v>616257.7062919928</v>
      </c>
      <c r="DR67" s="85">
        <f>-DQ67*'Tables 26a,b-MasterInputs'!$I74</f>
        <v>-6298.1537583041663</v>
      </c>
      <c r="DS67" s="85">
        <f t="shared" si="96"/>
        <v>609959.55253368861</v>
      </c>
      <c r="DT67" s="85">
        <f>-DS67*'Tables 26a,b-MasterInputs'!$J74</f>
        <v>-24398.382101347546</v>
      </c>
      <c r="DU67" s="299">
        <f t="shared" si="97"/>
        <v>585561.17043234105</v>
      </c>
      <c r="DV67" s="107">
        <f>IFERROR(DU67/'Table 12-IUL Census'!$G30,0)</f>
        <v>21.321399244450355</v>
      </c>
      <c r="DW67" s="88">
        <f>'Table 12-IUL Census'!$F30*(DU66/(CO66+DE66+DU66))</f>
        <v>385.81252822337819</v>
      </c>
      <c r="DX67" s="89">
        <f>'Tables 26a,b-MasterInputs'!$H74</f>
        <v>0</v>
      </c>
      <c r="DY67" s="175">
        <f t="shared" si="88"/>
        <v>0</v>
      </c>
      <c r="EJ67" s="88"/>
      <c r="EK67" s="88"/>
      <c r="EL67" s="88"/>
      <c r="EM67" s="88"/>
      <c r="EN67" s="88"/>
      <c r="EO67" s="85"/>
      <c r="EP67" s="85"/>
      <c r="EQ67" s="85"/>
    </row>
    <row r="68" spans="1:202" x14ac:dyDescent="0.25">
      <c r="A68" s="137">
        <v>20</v>
      </c>
      <c r="B68" s="85">
        <v>0</v>
      </c>
      <c r="C68" s="174">
        <f>MAX(('Table 7-10-OptionBudget'!$D$45/100)*(K67+B68+D68+E68+F68),0)</f>
        <v>0</v>
      </c>
      <c r="D68" s="174">
        <f>MAX(-'Tables 26a,b-MasterInputs'!$E75*('Table 12-IUL Census'!$G30*1000/(1+('Tables 26a,b-MasterInputs'!E50))-(K67+B68+E68+F68)),-K67-E68)*IF(G67=0,0,1)</f>
        <v>0</v>
      </c>
      <c r="E68" s="174">
        <f>-'Tables 26a,b-MasterInputs'!$G75*'Table 12-IUL Census'!$D30*IF(G67=0,0,1)</f>
        <v>0</v>
      </c>
      <c r="F68" s="174">
        <f>-'Tables 26a,b-MasterInputs'!$F75*B68</f>
        <v>0</v>
      </c>
      <c r="G68" s="85">
        <f t="shared" si="64"/>
        <v>0</v>
      </c>
      <c r="H68" s="85">
        <f>-G68*'Tables 26a,b-MasterInputs'!$I75</f>
        <v>0</v>
      </c>
      <c r="I68" s="85">
        <f t="shared" si="65"/>
        <v>0</v>
      </c>
      <c r="J68" s="85">
        <f>-I68*'Tables 26a,b-MasterInputs'!$J75</f>
        <v>0</v>
      </c>
      <c r="K68" s="299">
        <f t="shared" si="66"/>
        <v>0</v>
      </c>
      <c r="L68" s="107">
        <f>IFERROR(K68/'Table 12-IUL Census'!$G31,0)</f>
        <v>0</v>
      </c>
      <c r="M68" s="88">
        <f>'Table 12-IUL Census'!$F31</f>
        <v>27154.578394552409</v>
      </c>
      <c r="N68" s="89">
        <f>'Tables 26a,b-MasterInputs'!$H75</f>
        <v>0</v>
      </c>
      <c r="O68" s="175">
        <f t="shared" si="67"/>
        <v>0</v>
      </c>
      <c r="R68" s="137">
        <v>20</v>
      </c>
      <c r="S68" s="85">
        <v>0</v>
      </c>
      <c r="T68" s="174">
        <f>MAX(('Table 7-10-OptionBudget'!$D$45/100)*(AB67+S68+U68+V68+W68),0)</f>
        <v>5.002176180434578E-14</v>
      </c>
      <c r="U68" s="174">
        <f>MAX(-'Tables 26a,b-MasterInputs'!$E75*('Table 12-IUL Census'!$G30*1000/(1+('Tables 26a,b-MasterInputs'!E50))-(AB67+S68+V68+W68)),-AB67-V68)*IF(AB67&lt;=0,0,1)</f>
        <v>-103844.46656645939</v>
      </c>
      <c r="V68" s="174">
        <f>-'Tables 26a,b-MasterInputs'!$G75*'Table 12-IUL Census'!$D30</f>
        <v>-5492.7086512368969</v>
      </c>
      <c r="W68" s="174">
        <f>-'Tables 26a,b-MasterInputs'!$F75*S68</f>
        <v>0</v>
      </c>
      <c r="X68" s="85">
        <f t="shared" si="68"/>
        <v>0</v>
      </c>
      <c r="Y68" s="85">
        <f>-X68*'Tables 26a,b-MasterInputs'!$I75</f>
        <v>0</v>
      </c>
      <c r="Z68" s="85">
        <f t="shared" si="69"/>
        <v>0</v>
      </c>
      <c r="AA68" s="85">
        <f>-Z68*'Tables 26a,b-MasterInputs'!$J75</f>
        <v>0</v>
      </c>
      <c r="AB68" s="299">
        <f t="shared" si="70"/>
        <v>0</v>
      </c>
      <c r="AC68" s="107">
        <f>IFERROR(AB68/'Table 12-IUL Census'!$G31,0)</f>
        <v>0</v>
      </c>
      <c r="AD68" s="88">
        <f>'Table 12-IUL Census'!$F31</f>
        <v>27154.578394552409</v>
      </c>
      <c r="AE68" s="89">
        <f>'Tables 26a,b-MasterInputs'!$H75</f>
        <v>0</v>
      </c>
      <c r="AF68" s="175">
        <f t="shared" si="71"/>
        <v>0</v>
      </c>
      <c r="AG68" s="303">
        <f t="shared" ca="1" si="72"/>
        <v>5.9662852436304092E-10</v>
      </c>
      <c r="AH68" s="137">
        <v>20</v>
      </c>
      <c r="AI68" s="85">
        <v>0</v>
      </c>
      <c r="AJ68" s="174">
        <f>MAX(('Table 7-10-OptionBudget'!$D$45/100)*(AR67+AI68+AK68+AL68+AM68),0)</f>
        <v>7.8284057223801139E-12</v>
      </c>
      <c r="AK68" s="300">
        <f t="shared" si="98"/>
        <v>-51319.321807277913</v>
      </c>
      <c r="AL68" s="300">
        <f t="shared" si="99"/>
        <v>-2714.4641615164355</v>
      </c>
      <c r="AM68" s="300">
        <f>-'Tables 26a,b-MasterInputs'!$F75*AI68</f>
        <v>0</v>
      </c>
      <c r="AN68" s="85">
        <f t="shared" si="73"/>
        <v>2.9103830456733704E-10</v>
      </c>
      <c r="AO68" s="85">
        <f>-AN68*'Tables 26a,b-MasterInputs'!$I75</f>
        <v>-3.2741809263825413E-12</v>
      </c>
      <c r="AP68" s="85">
        <f t="shared" si="74"/>
        <v>2.8776412364095447E-10</v>
      </c>
      <c r="AQ68" s="85">
        <f>-AP68*'Tables 26a,b-MasterInputs'!$J75</f>
        <v>-2.8776412364095447E-10</v>
      </c>
      <c r="AR68" s="299">
        <f t="shared" si="75"/>
        <v>0</v>
      </c>
      <c r="AS68" s="107">
        <f>IFERROR(AR68/'Table 12-IUL Census'!$G31,0)</f>
        <v>0</v>
      </c>
      <c r="AT68" s="88">
        <f>'Table 12-IUL Census'!$F31*(AR67/($AR67+$BH67))</f>
        <v>13419.632198496878</v>
      </c>
      <c r="AU68" s="89">
        <f>'Tables 26a,b-MasterInputs'!$H75</f>
        <v>0</v>
      </c>
      <c r="AV68" s="175">
        <f t="shared" si="76"/>
        <v>0</v>
      </c>
      <c r="AW68" s="120"/>
      <c r="AX68" s="137">
        <v>20</v>
      </c>
      <c r="AY68" s="85">
        <v>0</v>
      </c>
      <c r="AZ68" s="174">
        <f>MAX(('Table 7-10-OptionBudget'!$D$45/100)*(BH67+AY68+BA68+BB68+BC68),0)</f>
        <v>8.2285798168148802E-12</v>
      </c>
      <c r="BA68" s="300">
        <f t="shared" si="100"/>
        <v>-52525.144759181479</v>
      </c>
      <c r="BB68" s="300">
        <f t="shared" si="101"/>
        <v>-2778.2444897204614</v>
      </c>
      <c r="BC68" s="300">
        <f>-'Tables 26a,b-MasterInputs'!$F75*AY68</f>
        <v>0</v>
      </c>
      <c r="BD68" s="85">
        <f t="shared" si="89"/>
        <v>3.0559021979570389E-10</v>
      </c>
      <c r="BE68" s="85">
        <f>-BD68*'Tables 26a,b-MasterInputs'!$I75</f>
        <v>-3.4378899727016686E-12</v>
      </c>
      <c r="BF68" s="85">
        <f t="shared" si="90"/>
        <v>3.0215232982300224E-10</v>
      </c>
      <c r="BG68" s="85">
        <f>-BF68*'Tables 26a,b-MasterInputs'!$J75</f>
        <v>-3.0215232982300224E-10</v>
      </c>
      <c r="BH68" s="299">
        <f t="shared" si="91"/>
        <v>0</v>
      </c>
      <c r="BI68" s="107">
        <f>IFERROR(BH68/'Table 12-IUL Census'!$G31,0)</f>
        <v>0</v>
      </c>
      <c r="BJ68" s="88">
        <f>'Table 12-IUL Census'!$F31*(BH67/($AR67+$BH67))</f>
        <v>13734.946196055531</v>
      </c>
      <c r="BK68" s="89">
        <f>'Tables 26a,b-MasterInputs'!$H75</f>
        <v>0</v>
      </c>
      <c r="BL68" s="175">
        <f t="shared" si="77"/>
        <v>0</v>
      </c>
      <c r="BO68" s="137">
        <v>20</v>
      </c>
      <c r="BP68" s="85">
        <v>0</v>
      </c>
      <c r="BQ68" s="174">
        <f>MAX(('Table 7-10-OptionBudget'!$D$45/100)*(BY67+BP68+BR68+BS68+BT68),0)</f>
        <v>40631.328691630784</v>
      </c>
      <c r="BR68" s="174">
        <f>MAX(-'Tables 26a,b-MasterInputs'!$E75*('Table 12-IUL Census'!$G30*1000/(1+('Tables 26a,b-MasterInputs'!E50))-(BY67+BP68+BS68+BT68)),-BY67-BS68)*IF(BU67=0,0,1)</f>
        <v>-253757.07944756743</v>
      </c>
      <c r="BS68" s="174">
        <f>-'Tables 26a,b-MasterInputs'!$G75*'Table 12-IUL Census'!$D30</f>
        <v>-5492.7086512368969</v>
      </c>
      <c r="BT68" s="174">
        <f>-'Tables 26a,b-MasterInputs'!$F75*BP68</f>
        <v>0</v>
      </c>
      <c r="BU68" s="85">
        <f t="shared" si="78"/>
        <v>1518147.3872252621</v>
      </c>
      <c r="BV68" s="85">
        <f>-BU68*'Tables 26a,b-MasterInputs'!$I75</f>
        <v>-17079.158106284198</v>
      </c>
      <c r="BW68" s="85">
        <f t="shared" si="79"/>
        <v>1501068.2291189779</v>
      </c>
      <c r="BX68" s="85">
        <f>-BW68*'Tables 26a,b-MasterInputs'!$J75</f>
        <v>-1501068.2291189779</v>
      </c>
      <c r="BY68" s="299">
        <f t="shared" si="80"/>
        <v>0</v>
      </c>
      <c r="BZ68" s="107">
        <f>IFERROR(BY68/'Table 12-IUL Census'!$G31,0)</f>
        <v>0</v>
      </c>
      <c r="CA68" s="88">
        <f>'Table 12-IUL Census'!$F31</f>
        <v>27154.578394552409</v>
      </c>
      <c r="CB68" s="89">
        <f>'Tables 26a,b-MasterInputs'!$H75</f>
        <v>0</v>
      </c>
      <c r="CC68" s="175">
        <f t="shared" si="81"/>
        <v>0</v>
      </c>
      <c r="CD68" s="303">
        <f t="shared" ca="1" si="82"/>
        <v>0</v>
      </c>
      <c r="CE68" s="137">
        <v>20</v>
      </c>
      <c r="CF68" s="85">
        <v>0</v>
      </c>
      <c r="CG68" s="174">
        <f>MAX(('Table 7-10-OptionBudget'!$D$45/100)*(CO67+CF68+CH68+CI68+CJ68),0)</f>
        <v>13309.748466836822</v>
      </c>
      <c r="CH68" s="300">
        <f t="shared" si="102"/>
        <v>-83124.10664094126</v>
      </c>
      <c r="CI68" s="300">
        <f t="shared" si="103"/>
        <v>-1799.2660566042518</v>
      </c>
      <c r="CJ68" s="300">
        <f>-'Tables 26a,b-MasterInputs'!$F75*CF68</f>
        <v>0</v>
      </c>
      <c r="CK68" s="85">
        <f t="shared" si="83"/>
        <v>497304.92480094091</v>
      </c>
      <c r="CL68" s="85">
        <f>-CK68*'Tables 26a,b-MasterInputs'!$I75</f>
        <v>-5594.6804040105853</v>
      </c>
      <c r="CM68" s="85">
        <f t="shared" si="84"/>
        <v>491710.24439693033</v>
      </c>
      <c r="CN68" s="85">
        <f>-CM68*'Tables 26a,b-MasterInputs'!$J75</f>
        <v>-491710.24439693033</v>
      </c>
      <c r="CO68" s="299">
        <f t="shared" si="85"/>
        <v>0</v>
      </c>
      <c r="CP68" s="107">
        <f>IFERROR(CO68/'Table 12-IUL Census'!$G31,0)</f>
        <v>0</v>
      </c>
      <c r="CQ68" s="88">
        <f>'Table 12-IUL Census'!$F31*(CO67/(CO67+DE67+DU67))</f>
        <v>8895.1215673372699</v>
      </c>
      <c r="CR68" s="89">
        <f>'Tables 26a,b-MasterInputs'!$H75</f>
        <v>0</v>
      </c>
      <c r="CS68" s="175">
        <f t="shared" si="86"/>
        <v>0</v>
      </c>
      <c r="CU68" s="137">
        <v>20</v>
      </c>
      <c r="CV68" s="85">
        <v>0</v>
      </c>
      <c r="CW68" s="174">
        <f>MAX(('Table 7-10-OptionBudget'!$D$45/100)*(DE67+CV68+CX68+CY68+CZ68),0)</f>
        <v>13622.48058449119</v>
      </c>
      <c r="CX68" s="300">
        <f t="shared" si="104"/>
        <v>-85077.229794449435</v>
      </c>
      <c r="CY68" s="300">
        <f t="shared" si="105"/>
        <v>-1841.5424591604299</v>
      </c>
      <c r="CZ68" s="300">
        <f>-'Tables 26a,b-MasterInputs'!$F75*CV68</f>
        <v>0</v>
      </c>
      <c r="DA68" s="85">
        <f t="shared" si="92"/>
        <v>508989.83549932507</v>
      </c>
      <c r="DB68" s="85">
        <f>-DA68*'Tables 26a,b-MasterInputs'!$I75</f>
        <v>-5726.1356493674066</v>
      </c>
      <c r="DC68" s="85">
        <f t="shared" si="93"/>
        <v>503263.69984995766</v>
      </c>
      <c r="DD68" s="85">
        <f>-DC68*'Tables 26a,b-MasterInputs'!$J75</f>
        <v>-503263.69984995766</v>
      </c>
      <c r="DE68" s="299">
        <f t="shared" si="94"/>
        <v>0</v>
      </c>
      <c r="DF68" s="107">
        <f>IFERROR(DE68/'Table 12-IUL Census'!$G31,0)</f>
        <v>0</v>
      </c>
      <c r="DG68" s="88">
        <f>'Table 12-IUL Census'!$F31*(DE67/(CO67+DE67+DU67))</f>
        <v>9104.1255324743743</v>
      </c>
      <c r="DH68" s="89">
        <f>'Tables 26a,b-MasterInputs'!$H75</f>
        <v>0</v>
      </c>
      <c r="DI68" s="175">
        <f t="shared" si="87"/>
        <v>0</v>
      </c>
      <c r="DK68" s="137">
        <v>20</v>
      </c>
      <c r="DL68" s="85">
        <v>0</v>
      </c>
      <c r="DM68" s="174">
        <f>MAX(('Table 7-10-OptionBudget'!$D$45/100)*(DU67+DL68+DN68+DO68+DP68),0)</f>
        <v>13699.099640302737</v>
      </c>
      <c r="DN68" s="300">
        <f t="shared" si="106"/>
        <v>-85555.743012176768</v>
      </c>
      <c r="DO68" s="300">
        <f t="shared" si="107"/>
        <v>-1851.9001354722161</v>
      </c>
      <c r="DP68" s="300">
        <f>-'Tables 26a,b-MasterInputs'!$F75*DL68</f>
        <v>0</v>
      </c>
      <c r="DQ68" s="85">
        <f t="shared" si="95"/>
        <v>511852.62692499481</v>
      </c>
      <c r="DR68" s="85">
        <f>-DQ68*'Tables 26a,b-MasterInputs'!$I75</f>
        <v>-5758.3420529061914</v>
      </c>
      <c r="DS68" s="85">
        <f t="shared" si="96"/>
        <v>506094.28487208864</v>
      </c>
      <c r="DT68" s="85">
        <f>-DS68*'Tables 26a,b-MasterInputs'!$J75</f>
        <v>-506094.28487208864</v>
      </c>
      <c r="DU68" s="299">
        <f t="shared" si="97"/>
        <v>0</v>
      </c>
      <c r="DV68" s="107">
        <f>IFERROR(DU68/'Table 12-IUL Census'!$G31,0)</f>
        <v>0</v>
      </c>
      <c r="DW68" s="88">
        <f>'Table 12-IUL Census'!$F31*(DU67/(CO67+DE67+DU67))</f>
        <v>9155.3312947407685</v>
      </c>
      <c r="DX68" s="89">
        <f>'Tables 26a,b-MasterInputs'!$H75</f>
        <v>0</v>
      </c>
      <c r="DY68" s="175">
        <f t="shared" si="88"/>
        <v>0</v>
      </c>
      <c r="EJ68" s="88"/>
      <c r="EK68" s="88"/>
      <c r="EL68" s="88"/>
      <c r="EM68" s="88"/>
      <c r="EN68" s="88"/>
      <c r="EO68" s="85"/>
      <c r="EP68" s="85"/>
      <c r="EQ68" s="85"/>
    </row>
    <row r="69" spans="1:202" ht="15.75" thickBot="1" x14ac:dyDescent="0.3">
      <c r="A69" s="139"/>
      <c r="B69" s="122"/>
      <c r="C69" s="122"/>
      <c r="D69" s="122"/>
      <c r="E69" s="122"/>
      <c r="F69" s="122"/>
      <c r="G69" s="122"/>
      <c r="H69" s="122"/>
      <c r="I69" s="122"/>
      <c r="J69" s="122"/>
      <c r="K69" s="305"/>
      <c r="L69" s="122"/>
      <c r="M69" s="122"/>
      <c r="N69" s="122"/>
      <c r="O69" s="305"/>
      <c r="P69" s="137"/>
      <c r="R69" s="139"/>
      <c r="S69" s="122"/>
      <c r="T69" s="122"/>
      <c r="U69" s="122"/>
      <c r="V69" s="122"/>
      <c r="W69" s="122"/>
      <c r="X69" s="122"/>
      <c r="Y69" s="122"/>
      <c r="Z69" s="122"/>
      <c r="AA69" s="122"/>
      <c r="AB69" s="305"/>
      <c r="AC69" s="122"/>
      <c r="AD69" s="122"/>
      <c r="AE69" s="122"/>
      <c r="AF69" s="305"/>
      <c r="AG69" s="120"/>
      <c r="AH69" s="139"/>
      <c r="AI69" s="122"/>
      <c r="AJ69" s="122"/>
      <c r="AK69" s="122"/>
      <c r="AL69" s="122"/>
      <c r="AM69" s="122"/>
      <c r="AN69" s="122"/>
      <c r="AO69" s="122"/>
      <c r="AP69" s="122"/>
      <c r="AQ69" s="122"/>
      <c r="AR69" s="305"/>
      <c r="AS69" s="122"/>
      <c r="AT69" s="122"/>
      <c r="AU69" s="122"/>
      <c r="AV69" s="305"/>
      <c r="AW69" s="120"/>
      <c r="AX69" s="139"/>
      <c r="AY69" s="122"/>
      <c r="AZ69" s="122"/>
      <c r="BA69" s="122"/>
      <c r="BB69" s="122"/>
      <c r="BC69" s="122"/>
      <c r="BD69" s="122"/>
      <c r="BE69" s="122"/>
      <c r="BF69" s="122"/>
      <c r="BG69" s="122"/>
      <c r="BH69" s="305"/>
      <c r="BI69" s="122"/>
      <c r="BJ69" s="122"/>
      <c r="BK69" s="122"/>
      <c r="BL69" s="305"/>
      <c r="BO69" s="139"/>
      <c r="BP69" s="122"/>
      <c r="BQ69" s="122"/>
      <c r="BR69" s="122"/>
      <c r="BS69" s="122"/>
      <c r="BT69" s="122"/>
      <c r="BU69" s="122"/>
      <c r="BV69" s="122"/>
      <c r="BW69" s="122"/>
      <c r="BX69" s="122"/>
      <c r="BY69" s="305"/>
      <c r="BZ69" s="122"/>
      <c r="CA69" s="122"/>
      <c r="CB69" s="122"/>
      <c r="CC69" s="305"/>
      <c r="CE69" s="139"/>
      <c r="CF69" s="122"/>
      <c r="CG69" s="122"/>
      <c r="CH69" s="122"/>
      <c r="CI69" s="122"/>
      <c r="CJ69" s="122"/>
      <c r="CK69" s="122"/>
      <c r="CL69" s="122"/>
      <c r="CM69" s="122"/>
      <c r="CN69" s="122"/>
      <c r="CO69" s="305"/>
      <c r="CP69" s="122"/>
      <c r="CQ69" s="122"/>
      <c r="CR69" s="122"/>
      <c r="CS69" s="305"/>
      <c r="CU69" s="139"/>
      <c r="CV69" s="122"/>
      <c r="CW69" s="122"/>
      <c r="CX69" s="122"/>
      <c r="CY69" s="122"/>
      <c r="CZ69" s="122"/>
      <c r="DA69" s="122"/>
      <c r="DB69" s="122"/>
      <c r="DC69" s="122"/>
      <c r="DD69" s="122"/>
      <c r="DE69" s="305"/>
      <c r="DF69" s="122"/>
      <c r="DG69" s="122"/>
      <c r="DH69" s="122"/>
      <c r="DI69" s="305"/>
      <c r="DK69" s="139"/>
      <c r="DL69" s="122"/>
      <c r="DM69" s="122"/>
      <c r="DN69" s="122"/>
      <c r="DO69" s="122"/>
      <c r="DP69" s="122"/>
      <c r="DQ69" s="122"/>
      <c r="DR69" s="122"/>
      <c r="DS69" s="122"/>
      <c r="DT69" s="122"/>
      <c r="DU69" s="305"/>
      <c r="DV69" s="122"/>
      <c r="DW69" s="122"/>
      <c r="DX69" s="122"/>
      <c r="DY69" s="305"/>
      <c r="EA69" s="88">
        <f>BS69</f>
        <v>0</v>
      </c>
      <c r="EB69" s="85">
        <f>CI69</f>
        <v>0</v>
      </c>
      <c r="EC69" s="88">
        <f>CY69</f>
        <v>0</v>
      </c>
      <c r="ED69" s="88">
        <f>DO69</f>
        <v>0</v>
      </c>
      <c r="EE69" s="88">
        <f>EA69-SUM(EB69:ED69)</f>
        <v>0</v>
      </c>
      <c r="EF69" s="88">
        <f>EA69-EA38</f>
        <v>0</v>
      </c>
      <c r="EG69" s="88">
        <f>EB69-EB38</f>
        <v>0</v>
      </c>
      <c r="EH69" s="88">
        <f>EC69-EC38</f>
        <v>0</v>
      </c>
      <c r="EI69" s="88">
        <f>ED69-ED38</f>
        <v>0</v>
      </c>
    </row>
    <row r="71" spans="1:202" x14ac:dyDescent="0.25">
      <c r="O71" s="85"/>
    </row>
    <row r="72" spans="1:202" ht="15.75" thickBot="1" x14ac:dyDescent="0.3">
      <c r="O72" s="85"/>
    </row>
    <row r="73" spans="1:202" x14ac:dyDescent="0.25">
      <c r="A73" s="450" t="s">
        <v>286</v>
      </c>
      <c r="B73" s="451"/>
      <c r="C73" s="451"/>
      <c r="D73" s="451"/>
      <c r="E73" s="451"/>
      <c r="F73" s="451"/>
      <c r="G73" s="451"/>
      <c r="H73" s="451"/>
      <c r="I73" s="451"/>
      <c r="J73" s="451"/>
      <c r="K73" s="451"/>
      <c r="L73" s="451"/>
      <c r="M73" s="451"/>
      <c r="N73" s="451"/>
      <c r="O73" s="451"/>
      <c r="P73" s="452"/>
      <c r="Q73" s="35"/>
      <c r="R73" s="1"/>
      <c r="S73" s="1"/>
      <c r="T73" s="1"/>
      <c r="U73" s="1"/>
      <c r="V73" s="1"/>
      <c r="W73" s="1"/>
      <c r="X73" s="1"/>
      <c r="Y73" s="1"/>
      <c r="Z73" s="1"/>
      <c r="AA73" s="1"/>
      <c r="AB73" s="1"/>
      <c r="AC73" s="1"/>
      <c r="AD73" s="1"/>
      <c r="AE73" s="1"/>
      <c r="AF73" s="1"/>
      <c r="AG73" s="1"/>
      <c r="AH73" s="450" t="s">
        <v>346</v>
      </c>
      <c r="AI73" s="451"/>
      <c r="AJ73" s="451"/>
      <c r="AK73" s="451"/>
      <c r="AL73" s="451"/>
      <c r="AM73" s="451"/>
      <c r="AN73" s="451"/>
      <c r="AO73" s="451"/>
      <c r="AP73" s="451"/>
      <c r="AQ73" s="451"/>
      <c r="AR73" s="451"/>
      <c r="AS73" s="451"/>
      <c r="AT73" s="451"/>
      <c r="AU73" s="451"/>
      <c r="AV73" s="451"/>
      <c r="AW73" s="452"/>
      <c r="AX73" s="450" t="s">
        <v>347</v>
      </c>
      <c r="AY73" s="451"/>
      <c r="AZ73" s="451"/>
      <c r="BA73" s="451"/>
      <c r="BB73" s="451"/>
      <c r="BC73" s="451"/>
      <c r="BD73" s="451"/>
      <c r="BE73" s="451"/>
      <c r="BF73" s="451"/>
      <c r="BG73" s="451"/>
      <c r="BH73" s="451"/>
      <c r="BI73" s="451"/>
      <c r="BJ73" s="451"/>
      <c r="BK73" s="451"/>
      <c r="BL73" s="451"/>
      <c r="BM73" s="452"/>
      <c r="BN73" s="1"/>
      <c r="BO73" s="1"/>
      <c r="BP73" s="1"/>
      <c r="BQ73" s="1"/>
      <c r="BR73" s="1"/>
      <c r="BS73" s="1"/>
      <c r="BT73" s="1"/>
      <c r="BU73" s="1"/>
      <c r="BV73" s="1"/>
      <c r="BW73" s="1"/>
      <c r="BX73" s="1"/>
      <c r="BY73" s="1"/>
      <c r="BZ73" s="1"/>
      <c r="CA73" s="1"/>
      <c r="CB73" s="1"/>
      <c r="CC73" s="1"/>
      <c r="CD73" s="1"/>
      <c r="CE73" s="450"/>
      <c r="CF73" s="451"/>
      <c r="CG73" s="451"/>
      <c r="CH73" s="451"/>
      <c r="CI73" s="451"/>
      <c r="CJ73" s="451"/>
      <c r="CK73" s="451"/>
      <c r="CL73" s="451"/>
      <c r="CM73" s="451"/>
      <c r="CN73" s="451"/>
      <c r="CO73" s="451"/>
      <c r="CP73" s="451"/>
      <c r="CQ73" s="451"/>
      <c r="CR73" s="451"/>
      <c r="CS73" s="451"/>
      <c r="CT73" s="452"/>
      <c r="CU73" s="450"/>
      <c r="CV73" s="451"/>
      <c r="CW73" s="451"/>
      <c r="CX73" s="451"/>
      <c r="CY73" s="451"/>
      <c r="CZ73" s="451"/>
      <c r="DA73" s="451"/>
      <c r="DB73" s="451"/>
      <c r="DC73" s="451"/>
      <c r="DD73" s="451"/>
      <c r="DE73" s="451"/>
      <c r="DF73" s="451"/>
      <c r="DG73" s="451"/>
      <c r="DH73" s="451"/>
      <c r="DI73" s="451"/>
      <c r="DJ73" s="452"/>
      <c r="DK73" s="450" t="s">
        <v>263</v>
      </c>
      <c r="DL73" s="451"/>
      <c r="DM73" s="451"/>
      <c r="DN73" s="451"/>
      <c r="DO73" s="451"/>
      <c r="DP73" s="451"/>
      <c r="DQ73" s="451"/>
      <c r="DR73" s="451"/>
      <c r="DS73" s="451"/>
      <c r="DT73" s="451"/>
      <c r="DU73" s="451"/>
      <c r="DV73" s="451"/>
      <c r="DW73" s="451"/>
      <c r="DX73" s="451"/>
      <c r="DY73" s="451"/>
      <c r="DZ73" s="452"/>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row>
    <row r="74" spans="1:202" ht="15.75" thickBot="1" x14ac:dyDescent="0.3">
      <c r="A74" s="453" t="s">
        <v>287</v>
      </c>
      <c r="B74" s="454"/>
      <c r="C74" s="454"/>
      <c r="D74" s="454"/>
      <c r="E74" s="454"/>
      <c r="F74" s="454"/>
      <c r="G74" s="454"/>
      <c r="H74" s="454"/>
      <c r="I74" s="454"/>
      <c r="J74" s="454"/>
      <c r="K74" s="454"/>
      <c r="L74" s="454"/>
      <c r="M74" s="454"/>
      <c r="N74" s="454"/>
      <c r="O74" s="454"/>
      <c r="P74" s="455"/>
      <c r="AH74" s="453" t="s">
        <v>201</v>
      </c>
      <c r="AI74" s="454"/>
      <c r="AJ74" s="454"/>
      <c r="AK74" s="454"/>
      <c r="AL74" s="454"/>
      <c r="AM74" s="454"/>
      <c r="AN74" s="454"/>
      <c r="AO74" s="454"/>
      <c r="AP74" s="454"/>
      <c r="AQ74" s="454"/>
      <c r="AR74" s="454"/>
      <c r="AS74" s="454"/>
      <c r="AT74" s="454"/>
      <c r="AU74" s="454"/>
      <c r="AV74" s="454"/>
      <c r="AW74" s="455"/>
      <c r="AX74" s="453" t="s">
        <v>202</v>
      </c>
      <c r="AY74" s="454"/>
      <c r="AZ74" s="454"/>
      <c r="BA74" s="454"/>
      <c r="BB74" s="454"/>
      <c r="BC74" s="454"/>
      <c r="BD74" s="454"/>
      <c r="BE74" s="454"/>
      <c r="BF74" s="454"/>
      <c r="BG74" s="454"/>
      <c r="BH74" s="454"/>
      <c r="BI74" s="454"/>
      <c r="BJ74" s="454"/>
      <c r="BK74" s="454"/>
      <c r="BL74" s="454"/>
      <c r="BM74" s="455"/>
      <c r="CE74" s="453" t="s">
        <v>203</v>
      </c>
      <c r="CF74" s="454"/>
      <c r="CG74" s="454"/>
      <c r="CH74" s="454"/>
      <c r="CI74" s="454"/>
      <c r="CJ74" s="454"/>
      <c r="CK74" s="454"/>
      <c r="CL74" s="454"/>
      <c r="CM74" s="454"/>
      <c r="CN74" s="454"/>
      <c r="CO74" s="454"/>
      <c r="CP74" s="454"/>
      <c r="CQ74" s="454"/>
      <c r="CR74" s="454"/>
      <c r="CS74" s="454"/>
      <c r="CT74" s="455"/>
      <c r="CU74" s="453" t="s">
        <v>204</v>
      </c>
      <c r="CV74" s="454"/>
      <c r="CW74" s="454"/>
      <c r="CX74" s="454"/>
      <c r="CY74" s="454"/>
      <c r="CZ74" s="454"/>
      <c r="DA74" s="454"/>
      <c r="DB74" s="454"/>
      <c r="DC74" s="454"/>
      <c r="DD74" s="454"/>
      <c r="DE74" s="454"/>
      <c r="DF74" s="454"/>
      <c r="DG74" s="454"/>
      <c r="DH74" s="454"/>
      <c r="DI74" s="454"/>
      <c r="DJ74" s="455"/>
      <c r="DK74" s="453" t="s">
        <v>205</v>
      </c>
      <c r="DL74" s="454"/>
      <c r="DM74" s="454"/>
      <c r="DN74" s="454"/>
      <c r="DO74" s="454"/>
      <c r="DP74" s="454"/>
      <c r="DQ74" s="454"/>
      <c r="DR74" s="454"/>
      <c r="DS74" s="454"/>
      <c r="DT74" s="454"/>
      <c r="DU74" s="454"/>
      <c r="DV74" s="454"/>
      <c r="DW74" s="454"/>
      <c r="DX74" s="454"/>
      <c r="DY74" s="454"/>
      <c r="DZ74" s="455"/>
    </row>
    <row r="75" spans="1:202" x14ac:dyDescent="0.25">
      <c r="A75" s="146"/>
      <c r="B75" s="146">
        <f t="shared" ref="B75:P75" si="108">A75-1</f>
        <v>-1</v>
      </c>
      <c r="C75" s="146">
        <f t="shared" si="108"/>
        <v>-2</v>
      </c>
      <c r="D75" s="146">
        <f t="shared" si="108"/>
        <v>-3</v>
      </c>
      <c r="E75" s="146">
        <f t="shared" si="108"/>
        <v>-4</v>
      </c>
      <c r="F75" s="146">
        <f t="shared" si="108"/>
        <v>-5</v>
      </c>
      <c r="G75" s="146">
        <f t="shared" si="108"/>
        <v>-6</v>
      </c>
      <c r="H75" s="146">
        <f t="shared" si="108"/>
        <v>-7</v>
      </c>
      <c r="I75" s="146">
        <f t="shared" si="108"/>
        <v>-8</v>
      </c>
      <c r="J75" s="146">
        <f t="shared" si="108"/>
        <v>-9</v>
      </c>
      <c r="K75" s="146">
        <f t="shared" si="108"/>
        <v>-10</v>
      </c>
      <c r="L75" s="180">
        <f t="shared" si="108"/>
        <v>-11</v>
      </c>
      <c r="M75" s="146">
        <f t="shared" si="108"/>
        <v>-12</v>
      </c>
      <c r="N75" s="146">
        <f t="shared" si="108"/>
        <v>-13</v>
      </c>
      <c r="O75" s="146">
        <f t="shared" si="108"/>
        <v>-14</v>
      </c>
      <c r="P75" s="146">
        <f t="shared" si="108"/>
        <v>-15</v>
      </c>
      <c r="Q75" s="82"/>
      <c r="R75" s="82"/>
      <c r="S75" s="82"/>
      <c r="T75" s="82"/>
      <c r="U75" s="82"/>
      <c r="V75" s="82"/>
      <c r="W75" s="82"/>
      <c r="X75" s="82"/>
      <c r="Y75" s="82"/>
      <c r="Z75" s="82"/>
      <c r="AA75" s="82"/>
      <c r="AB75" s="82"/>
      <c r="AC75" s="82"/>
      <c r="AD75" s="82"/>
      <c r="AE75" s="82"/>
      <c r="AF75" s="82"/>
      <c r="AG75" s="82"/>
      <c r="AH75" s="307"/>
      <c r="AI75" s="307">
        <f t="shared" ref="AI75:AW75" si="109">AH75-1</f>
        <v>-1</v>
      </c>
      <c r="AJ75" s="307">
        <f t="shared" si="109"/>
        <v>-2</v>
      </c>
      <c r="AK75" s="307">
        <f t="shared" si="109"/>
        <v>-3</v>
      </c>
      <c r="AL75" s="307">
        <f t="shared" si="109"/>
        <v>-4</v>
      </c>
      <c r="AM75" s="307">
        <f t="shared" si="109"/>
        <v>-5</v>
      </c>
      <c r="AN75" s="307">
        <f t="shared" si="109"/>
        <v>-6</v>
      </c>
      <c r="AO75" s="307">
        <f t="shared" si="109"/>
        <v>-7</v>
      </c>
      <c r="AP75" s="307">
        <f t="shared" si="109"/>
        <v>-8</v>
      </c>
      <c r="AQ75" s="307">
        <f t="shared" si="109"/>
        <v>-9</v>
      </c>
      <c r="AR75" s="307">
        <f t="shared" si="109"/>
        <v>-10</v>
      </c>
      <c r="AS75" s="307">
        <f t="shared" si="109"/>
        <v>-11</v>
      </c>
      <c r="AT75" s="307">
        <f t="shared" si="109"/>
        <v>-12</v>
      </c>
      <c r="AU75" s="307">
        <f t="shared" si="109"/>
        <v>-13</v>
      </c>
      <c r="AV75" s="307">
        <f t="shared" si="109"/>
        <v>-14</v>
      </c>
      <c r="AW75" s="307">
        <f t="shared" si="109"/>
        <v>-15</v>
      </c>
      <c r="AX75" s="307"/>
      <c r="AY75" s="307">
        <f t="shared" ref="AY75:BM75" si="110">AX75-1</f>
        <v>-1</v>
      </c>
      <c r="AZ75" s="307">
        <f t="shared" si="110"/>
        <v>-2</v>
      </c>
      <c r="BA75" s="307">
        <f t="shared" si="110"/>
        <v>-3</v>
      </c>
      <c r="BB75" s="307">
        <f t="shared" si="110"/>
        <v>-4</v>
      </c>
      <c r="BC75" s="307">
        <f t="shared" si="110"/>
        <v>-5</v>
      </c>
      <c r="BD75" s="307">
        <f t="shared" si="110"/>
        <v>-6</v>
      </c>
      <c r="BE75" s="307">
        <f t="shared" si="110"/>
        <v>-7</v>
      </c>
      <c r="BF75" s="307">
        <f t="shared" si="110"/>
        <v>-8</v>
      </c>
      <c r="BG75" s="307">
        <f t="shared" si="110"/>
        <v>-9</v>
      </c>
      <c r="BH75" s="307">
        <f t="shared" si="110"/>
        <v>-10</v>
      </c>
      <c r="BI75" s="307">
        <f t="shared" si="110"/>
        <v>-11</v>
      </c>
      <c r="BJ75" s="307">
        <f t="shared" si="110"/>
        <v>-12</v>
      </c>
      <c r="BK75" s="307">
        <f t="shared" si="110"/>
        <v>-13</v>
      </c>
      <c r="BL75" s="307">
        <f t="shared" si="110"/>
        <v>-14</v>
      </c>
      <c r="BM75" s="307">
        <f t="shared" si="110"/>
        <v>-15</v>
      </c>
      <c r="BN75" s="82"/>
      <c r="BO75" s="82"/>
      <c r="BP75" s="82"/>
      <c r="BQ75" s="82"/>
      <c r="BR75" s="82"/>
      <c r="BS75" s="82"/>
      <c r="BT75" s="82"/>
      <c r="BU75" s="82"/>
      <c r="BV75" s="82"/>
      <c r="BW75" s="82"/>
      <c r="BX75" s="82"/>
      <c r="BY75" s="82"/>
      <c r="BZ75" s="82"/>
      <c r="CA75" s="82"/>
      <c r="CB75" s="82"/>
      <c r="CC75" s="82"/>
      <c r="CD75" s="82"/>
      <c r="CE75" s="307"/>
      <c r="CF75" s="307">
        <f t="shared" ref="CF75:CT75" si="111">CE75-1</f>
        <v>-1</v>
      </c>
      <c r="CG75" s="307">
        <f t="shared" si="111"/>
        <v>-2</v>
      </c>
      <c r="CH75" s="307">
        <f t="shared" si="111"/>
        <v>-3</v>
      </c>
      <c r="CI75" s="307">
        <f t="shared" si="111"/>
        <v>-4</v>
      </c>
      <c r="CJ75" s="307">
        <f t="shared" si="111"/>
        <v>-5</v>
      </c>
      <c r="CK75" s="307">
        <f t="shared" si="111"/>
        <v>-6</v>
      </c>
      <c r="CL75" s="307">
        <f t="shared" si="111"/>
        <v>-7</v>
      </c>
      <c r="CM75" s="307">
        <f t="shared" si="111"/>
        <v>-8</v>
      </c>
      <c r="CN75" s="307">
        <f t="shared" si="111"/>
        <v>-9</v>
      </c>
      <c r="CO75" s="307">
        <f t="shared" si="111"/>
        <v>-10</v>
      </c>
      <c r="CP75" s="307">
        <f t="shared" si="111"/>
        <v>-11</v>
      </c>
      <c r="CQ75" s="307">
        <f t="shared" si="111"/>
        <v>-12</v>
      </c>
      <c r="CR75" s="307">
        <f t="shared" si="111"/>
        <v>-13</v>
      </c>
      <c r="CS75" s="307">
        <f t="shared" si="111"/>
        <v>-14</v>
      </c>
      <c r="CT75" s="307">
        <f t="shared" si="111"/>
        <v>-15</v>
      </c>
      <c r="CU75" s="307"/>
      <c r="CV75" s="307">
        <f t="shared" ref="CV75:DJ75" si="112">CU75-1</f>
        <v>-1</v>
      </c>
      <c r="CW75" s="307">
        <f t="shared" si="112"/>
        <v>-2</v>
      </c>
      <c r="CX75" s="307">
        <f t="shared" si="112"/>
        <v>-3</v>
      </c>
      <c r="CY75" s="307">
        <f t="shared" si="112"/>
        <v>-4</v>
      </c>
      <c r="CZ75" s="307">
        <f t="shared" si="112"/>
        <v>-5</v>
      </c>
      <c r="DA75" s="307">
        <f t="shared" si="112"/>
        <v>-6</v>
      </c>
      <c r="DB75" s="307">
        <f t="shared" si="112"/>
        <v>-7</v>
      </c>
      <c r="DC75" s="307">
        <f t="shared" si="112"/>
        <v>-8</v>
      </c>
      <c r="DD75" s="307">
        <f t="shared" si="112"/>
        <v>-9</v>
      </c>
      <c r="DE75" s="307">
        <f t="shared" si="112"/>
        <v>-10</v>
      </c>
      <c r="DF75" s="307">
        <f t="shared" si="112"/>
        <v>-11</v>
      </c>
      <c r="DG75" s="307">
        <f t="shared" si="112"/>
        <v>-12</v>
      </c>
      <c r="DH75" s="307">
        <f t="shared" si="112"/>
        <v>-13</v>
      </c>
      <c r="DI75" s="307">
        <f t="shared" si="112"/>
        <v>-14</v>
      </c>
      <c r="DJ75" s="307">
        <f t="shared" si="112"/>
        <v>-15</v>
      </c>
      <c r="DK75" s="307"/>
      <c r="DL75" s="307">
        <f t="shared" ref="DL75:DZ75" si="113">DK75-1</f>
        <v>-1</v>
      </c>
      <c r="DM75" s="307">
        <f t="shared" si="113"/>
        <v>-2</v>
      </c>
      <c r="DN75" s="307">
        <f t="shared" si="113"/>
        <v>-3</v>
      </c>
      <c r="DO75" s="307">
        <f t="shared" si="113"/>
        <v>-4</v>
      </c>
      <c r="DP75" s="307">
        <f t="shared" si="113"/>
        <v>-5</v>
      </c>
      <c r="DQ75" s="307">
        <f t="shared" si="113"/>
        <v>-6</v>
      </c>
      <c r="DR75" s="307">
        <f t="shared" si="113"/>
        <v>-7</v>
      </c>
      <c r="DS75" s="307">
        <f t="shared" si="113"/>
        <v>-8</v>
      </c>
      <c r="DT75" s="307">
        <f t="shared" si="113"/>
        <v>-9</v>
      </c>
      <c r="DU75" s="307">
        <f t="shared" si="113"/>
        <v>-10</v>
      </c>
      <c r="DV75" s="307">
        <f t="shared" si="113"/>
        <v>-11</v>
      </c>
      <c r="DW75" s="307">
        <f t="shared" si="113"/>
        <v>-12</v>
      </c>
      <c r="DX75" s="307">
        <f t="shared" si="113"/>
        <v>-13</v>
      </c>
      <c r="DY75" s="307">
        <f t="shared" si="113"/>
        <v>-14</v>
      </c>
      <c r="DZ75" s="307">
        <f t="shared" si="113"/>
        <v>-15</v>
      </c>
      <c r="EB75" s="88"/>
    </row>
    <row r="76" spans="1:202" x14ac:dyDescent="0.25">
      <c r="A76" s="291"/>
      <c r="B76" s="326"/>
      <c r="C76" s="326"/>
      <c r="D76" s="326"/>
      <c r="E76" s="291"/>
      <c r="F76" s="326"/>
      <c r="G76" s="291" t="s">
        <v>12</v>
      </c>
      <c r="H76" s="291" t="s">
        <v>12</v>
      </c>
      <c r="I76" s="291" t="s">
        <v>12</v>
      </c>
      <c r="J76" s="291" t="s">
        <v>12</v>
      </c>
      <c r="K76" s="291" t="s">
        <v>12</v>
      </c>
      <c r="L76" s="327"/>
      <c r="M76" s="291"/>
      <c r="N76" s="291" t="s">
        <v>293</v>
      </c>
      <c r="O76" s="291" t="s">
        <v>207</v>
      </c>
      <c r="P76" s="291"/>
      <c r="Q76" s="82"/>
      <c r="R76" s="82"/>
      <c r="S76" s="82"/>
      <c r="T76" s="82"/>
      <c r="U76" s="82"/>
      <c r="V76" s="82"/>
      <c r="W76" s="82"/>
      <c r="X76" s="82"/>
      <c r="Y76" s="82"/>
      <c r="Z76" s="82"/>
      <c r="AA76" s="82"/>
      <c r="AB76" s="82"/>
      <c r="AC76" s="82"/>
      <c r="AD76" s="82"/>
      <c r="AE76" s="82"/>
      <c r="AF76" s="82"/>
      <c r="AG76" s="82"/>
      <c r="AH76" s="297"/>
      <c r="AI76" s="25"/>
      <c r="AJ76" s="25"/>
      <c r="AK76" s="25"/>
      <c r="AL76" s="297"/>
      <c r="AM76" s="25"/>
      <c r="AN76" s="297" t="s">
        <v>12</v>
      </c>
      <c r="AO76" s="297" t="s">
        <v>12</v>
      </c>
      <c r="AP76" s="297" t="s">
        <v>12</v>
      </c>
      <c r="AQ76" s="297" t="s">
        <v>12</v>
      </c>
      <c r="AR76" s="297" t="s">
        <v>12</v>
      </c>
      <c r="AS76" s="297"/>
      <c r="AT76" s="297"/>
      <c r="AU76" s="25" t="s">
        <v>206</v>
      </c>
      <c r="AV76" s="25" t="s">
        <v>207</v>
      </c>
      <c r="AW76" s="297"/>
      <c r="AX76" s="297"/>
      <c r="AY76" s="25"/>
      <c r="AZ76" s="25"/>
      <c r="BA76" s="25"/>
      <c r="BB76" s="297"/>
      <c r="BC76" s="25"/>
      <c r="BD76" s="297" t="s">
        <v>12</v>
      </c>
      <c r="BE76" s="297" t="s">
        <v>12</v>
      </c>
      <c r="BF76" s="297" t="s">
        <v>12</v>
      </c>
      <c r="BG76" s="297" t="s">
        <v>12</v>
      </c>
      <c r="BH76" s="297" t="s">
        <v>12</v>
      </c>
      <c r="BI76" s="297"/>
      <c r="BJ76" s="297"/>
      <c r="BK76" s="25" t="s">
        <v>206</v>
      </c>
      <c r="BL76" s="25" t="s">
        <v>207</v>
      </c>
      <c r="BM76" s="297"/>
      <c r="BN76" s="82"/>
      <c r="BO76" s="82"/>
      <c r="BP76" s="82"/>
      <c r="BQ76" s="82"/>
      <c r="BR76" s="82"/>
      <c r="BS76" s="82"/>
      <c r="BT76" s="82"/>
      <c r="BU76" s="82"/>
      <c r="BV76" s="82"/>
      <c r="BW76" s="82"/>
      <c r="BX76" s="82"/>
      <c r="BY76" s="82"/>
      <c r="BZ76" s="82"/>
      <c r="CA76" s="82"/>
      <c r="CB76" s="82"/>
      <c r="CC76" s="82"/>
      <c r="CD76" s="82"/>
      <c r="CE76" s="297"/>
      <c r="CF76" s="25"/>
      <c r="CG76" s="25"/>
      <c r="CH76" s="297"/>
      <c r="CI76" s="297"/>
      <c r="CJ76" s="25"/>
      <c r="CK76" s="297" t="s">
        <v>12</v>
      </c>
      <c r="CL76" s="297" t="s">
        <v>12</v>
      </c>
      <c r="CM76" s="297" t="s">
        <v>12</v>
      </c>
      <c r="CN76" s="297" t="s">
        <v>12</v>
      </c>
      <c r="CO76" s="297" t="s">
        <v>12</v>
      </c>
      <c r="CP76" s="297"/>
      <c r="CQ76" s="297"/>
      <c r="CR76" s="25" t="s">
        <v>206</v>
      </c>
      <c r="CS76" s="25" t="s">
        <v>207</v>
      </c>
      <c r="CT76" s="297"/>
      <c r="CU76" s="297"/>
      <c r="CV76" s="25"/>
      <c r="CW76" s="25"/>
      <c r="CX76" s="297"/>
      <c r="CY76" s="297"/>
      <c r="CZ76" s="25"/>
      <c r="DA76" s="297" t="s">
        <v>12</v>
      </c>
      <c r="DB76" s="297" t="s">
        <v>12</v>
      </c>
      <c r="DC76" s="297" t="s">
        <v>12</v>
      </c>
      <c r="DD76" s="297" t="s">
        <v>12</v>
      </c>
      <c r="DE76" s="297" t="s">
        <v>12</v>
      </c>
      <c r="DF76" s="297"/>
      <c r="DG76" s="297"/>
      <c r="DH76" s="25" t="s">
        <v>206</v>
      </c>
      <c r="DI76" s="25" t="s">
        <v>207</v>
      </c>
      <c r="DJ76" s="297"/>
      <c r="DK76" s="297"/>
      <c r="DL76" s="25"/>
      <c r="DM76" s="25"/>
      <c r="DN76" s="297"/>
      <c r="DO76" s="297"/>
      <c r="DP76" s="25"/>
      <c r="DQ76" s="297" t="s">
        <v>12</v>
      </c>
      <c r="DR76" s="297" t="s">
        <v>12</v>
      </c>
      <c r="DS76" s="297" t="s">
        <v>12</v>
      </c>
      <c r="DT76" s="297" t="s">
        <v>12</v>
      </c>
      <c r="DU76" s="297" t="s">
        <v>12</v>
      </c>
      <c r="DV76" s="297"/>
      <c r="DW76" s="297"/>
      <c r="DX76" s="25" t="s">
        <v>206</v>
      </c>
      <c r="DY76" s="25" t="s">
        <v>207</v>
      </c>
      <c r="DZ76" s="297"/>
      <c r="EB76" s="88"/>
    </row>
    <row r="77" spans="1:202" x14ac:dyDescent="0.25">
      <c r="A77" s="291"/>
      <c r="B77" s="291"/>
      <c r="C77" s="291"/>
      <c r="D77" s="291"/>
      <c r="E77" s="291"/>
      <c r="F77" s="291"/>
      <c r="G77" s="291" t="s">
        <v>13</v>
      </c>
      <c r="H77" s="291" t="s">
        <v>13</v>
      </c>
      <c r="I77" s="291" t="s">
        <v>13</v>
      </c>
      <c r="J77" s="291" t="s">
        <v>13</v>
      </c>
      <c r="K77" s="291" t="s">
        <v>13</v>
      </c>
      <c r="L77" s="327"/>
      <c r="M77" s="291"/>
      <c r="N77" s="328">
        <f>SUMPRODUCT(L81:L100,M81:M100)</f>
        <v>311269.5157448409</v>
      </c>
      <c r="O77" s="329">
        <f>IRR(O81:O101,0.01)</f>
        <v>2.68453955189496E-2</v>
      </c>
      <c r="P77" s="291"/>
      <c r="Q77" s="82"/>
      <c r="R77" s="82"/>
      <c r="S77" s="82"/>
      <c r="T77" s="82"/>
      <c r="U77" s="82"/>
      <c r="V77" s="82"/>
      <c r="W77" s="82"/>
      <c r="X77" s="82"/>
      <c r="Y77" s="82"/>
      <c r="Z77" s="82"/>
      <c r="AA77" s="82"/>
      <c r="AB77" s="82"/>
      <c r="AC77" s="82"/>
      <c r="AD77" s="82"/>
      <c r="AE77" s="82"/>
      <c r="AF77" s="82"/>
      <c r="AG77" s="82"/>
      <c r="AH77" s="297"/>
      <c r="AI77" s="297"/>
      <c r="AJ77" s="297"/>
      <c r="AK77" s="297"/>
      <c r="AL77" s="297"/>
      <c r="AM77" s="297"/>
      <c r="AN77" s="297" t="s">
        <v>13</v>
      </c>
      <c r="AO77" s="297" t="s">
        <v>13</v>
      </c>
      <c r="AP77" s="297" t="s">
        <v>13</v>
      </c>
      <c r="AQ77" s="297" t="s">
        <v>13</v>
      </c>
      <c r="AR77" s="297" t="s">
        <v>13</v>
      </c>
      <c r="AS77" s="297"/>
      <c r="AT77" s="297"/>
      <c r="AU77" s="308">
        <f>SUMPRODUCT(AS81:AS100,AT81:AT100)</f>
        <v>376593.95956261281</v>
      </c>
      <c r="AV77" s="309">
        <f>IRR(AV81:AV101,0.01)</f>
        <v>2.2114916131640072E-2</v>
      </c>
      <c r="AW77" s="297"/>
      <c r="AX77" s="297"/>
      <c r="AY77" s="297"/>
      <c r="AZ77" s="297"/>
      <c r="BA77" s="297"/>
      <c r="BB77" s="297"/>
      <c r="BC77" s="297"/>
      <c r="BD77" s="297" t="s">
        <v>13</v>
      </c>
      <c r="BE77" s="297" t="s">
        <v>13</v>
      </c>
      <c r="BF77" s="297" t="s">
        <v>13</v>
      </c>
      <c r="BG77" s="297" t="s">
        <v>13</v>
      </c>
      <c r="BH77" s="297" t="s">
        <v>13</v>
      </c>
      <c r="BI77" s="297"/>
      <c r="BJ77" s="297"/>
      <c r="BK77" s="308">
        <f>SUMPRODUCT(BI81:BI100,BJ81:BJ100)</f>
        <v>340759.35197315132</v>
      </c>
      <c r="BL77" s="309">
        <f>IRR(BL82:BL101,0.01)</f>
        <v>2.4247818911888208E-2</v>
      </c>
      <c r="BM77" s="297"/>
      <c r="BN77" s="82"/>
      <c r="BO77" s="82"/>
      <c r="BP77" s="82"/>
      <c r="BQ77" s="82"/>
      <c r="BR77" s="82"/>
      <c r="BS77" s="82"/>
      <c r="BT77" s="82"/>
      <c r="BU77" s="82"/>
      <c r="BV77" s="82"/>
      <c r="BW77" s="82"/>
      <c r="BX77" s="82"/>
      <c r="BY77" s="82"/>
      <c r="BZ77" s="82"/>
      <c r="CA77" s="82"/>
      <c r="CB77" s="82"/>
      <c r="CC77" s="82"/>
      <c r="CD77" s="82"/>
      <c r="CE77" s="297"/>
      <c r="CF77" s="297"/>
      <c r="CG77" s="297"/>
      <c r="CH77" s="297"/>
      <c r="CI77" s="297"/>
      <c r="CJ77" s="297"/>
      <c r="CK77" s="297" t="s">
        <v>13</v>
      </c>
      <c r="CL77" s="297" t="s">
        <v>13</v>
      </c>
      <c r="CM77" s="297" t="s">
        <v>13</v>
      </c>
      <c r="CN77" s="297" t="s">
        <v>13</v>
      </c>
      <c r="CO77" s="297" t="s">
        <v>13</v>
      </c>
      <c r="CP77" s="297"/>
      <c r="CQ77" s="297"/>
      <c r="CR77" s="308">
        <f>SUMPRODUCT(CP81:CP100,CQ81:CQ100)</f>
        <v>414014.18036860693</v>
      </c>
      <c r="CS77" s="309">
        <f>IRR(CS81:CS101,0.01)</f>
        <v>2.0620022700106988E-2</v>
      </c>
      <c r="CT77" s="297"/>
      <c r="CU77" s="297"/>
      <c r="CV77" s="297"/>
      <c r="CW77" s="297"/>
      <c r="CX77" s="297"/>
      <c r="CY77" s="297"/>
      <c r="CZ77" s="297"/>
      <c r="DA77" s="297" t="s">
        <v>13</v>
      </c>
      <c r="DB77" s="297" t="s">
        <v>13</v>
      </c>
      <c r="DC77" s="297" t="s">
        <v>13</v>
      </c>
      <c r="DD77" s="297" t="s">
        <v>13</v>
      </c>
      <c r="DE77" s="297" t="s">
        <v>13</v>
      </c>
      <c r="DF77" s="297"/>
      <c r="DG77" s="297"/>
      <c r="DH77" s="308">
        <f>SUMPRODUCT(DF81:DF100,DG81:DG100)</f>
        <v>375774.83396744297</v>
      </c>
      <c r="DI77" s="309">
        <f>IRR(DI81:DI101,0.01)</f>
        <v>2.1895903224557145E-2</v>
      </c>
      <c r="DJ77" s="297"/>
      <c r="DK77" s="297"/>
      <c r="DL77" s="297"/>
      <c r="DM77" s="297"/>
      <c r="DN77" s="297"/>
      <c r="DO77" s="297"/>
      <c r="DP77" s="297"/>
      <c r="DQ77" s="297" t="s">
        <v>13</v>
      </c>
      <c r="DR77" s="297" t="s">
        <v>13</v>
      </c>
      <c r="DS77" s="297" t="s">
        <v>13</v>
      </c>
      <c r="DT77" s="297" t="s">
        <v>13</v>
      </c>
      <c r="DU77" s="297" t="s">
        <v>13</v>
      </c>
      <c r="DV77" s="297"/>
      <c r="DW77" s="297"/>
      <c r="DX77" s="308">
        <f>SUMPRODUCT(DV81:DV100,DW81:DW100)</f>
        <v>343621.79282933881</v>
      </c>
      <c r="DY77" s="309">
        <f>IRR(DY81:DY101,0.01)</f>
        <v>2.3706410352265728E-2</v>
      </c>
      <c r="DZ77" s="297"/>
    </row>
    <row r="78" spans="1:202" x14ac:dyDescent="0.25">
      <c r="A78" s="291" t="s">
        <v>3</v>
      </c>
      <c r="B78" s="291"/>
      <c r="C78" s="291" t="s">
        <v>14</v>
      </c>
      <c r="D78" s="291" t="s">
        <v>15</v>
      </c>
      <c r="E78" s="291" t="s">
        <v>16</v>
      </c>
      <c r="F78" s="291" t="s">
        <v>17</v>
      </c>
      <c r="G78" s="291" t="s">
        <v>18</v>
      </c>
      <c r="H78" s="291" t="s">
        <v>19</v>
      </c>
      <c r="I78" s="291" t="s">
        <v>18</v>
      </c>
      <c r="J78" s="291" t="s">
        <v>19</v>
      </c>
      <c r="K78" s="291" t="s">
        <v>20</v>
      </c>
      <c r="L78" s="327" t="s">
        <v>288</v>
      </c>
      <c r="M78" s="291" t="s">
        <v>289</v>
      </c>
      <c r="N78" s="291" t="s">
        <v>217</v>
      </c>
      <c r="O78" s="326" t="s">
        <v>390</v>
      </c>
      <c r="P78" s="291"/>
      <c r="S78" s="82"/>
      <c r="T78" s="82"/>
      <c r="U78" s="82"/>
      <c r="V78" s="82"/>
      <c r="W78" s="82"/>
      <c r="X78" s="82"/>
      <c r="Y78" s="82"/>
      <c r="Z78" s="82"/>
      <c r="AA78" s="82"/>
      <c r="AB78" s="82"/>
      <c r="AC78" s="82"/>
      <c r="AD78" s="82"/>
      <c r="AE78" s="82"/>
      <c r="AF78" s="82"/>
      <c r="AG78" s="82"/>
      <c r="AH78" s="297" t="s">
        <v>3</v>
      </c>
      <c r="AI78" s="297"/>
      <c r="AJ78" s="297" t="s">
        <v>14</v>
      </c>
      <c r="AK78" s="297" t="s">
        <v>15</v>
      </c>
      <c r="AL78" s="297" t="s">
        <v>16</v>
      </c>
      <c r="AM78" s="297" t="s">
        <v>17</v>
      </c>
      <c r="AN78" s="297" t="s">
        <v>18</v>
      </c>
      <c r="AO78" s="297" t="s">
        <v>19</v>
      </c>
      <c r="AP78" s="297" t="s">
        <v>18</v>
      </c>
      <c r="AQ78" s="297" t="s">
        <v>19</v>
      </c>
      <c r="AR78" s="297" t="s">
        <v>20</v>
      </c>
      <c r="AS78" s="297" t="s">
        <v>208</v>
      </c>
      <c r="AT78" s="297" t="s">
        <v>209</v>
      </c>
      <c r="AU78" s="297"/>
      <c r="AV78" s="25"/>
      <c r="AW78" s="297"/>
      <c r="AX78" s="297" t="s">
        <v>3</v>
      </c>
      <c r="AY78" s="297"/>
      <c r="AZ78" s="297" t="s">
        <v>14</v>
      </c>
      <c r="BA78" s="297" t="s">
        <v>15</v>
      </c>
      <c r="BB78" s="297" t="s">
        <v>16</v>
      </c>
      <c r="BC78" s="297" t="s">
        <v>17</v>
      </c>
      <c r="BD78" s="297" t="s">
        <v>18</v>
      </c>
      <c r="BE78" s="297" t="s">
        <v>19</v>
      </c>
      <c r="BF78" s="297" t="s">
        <v>18</v>
      </c>
      <c r="BG78" s="297" t="s">
        <v>19</v>
      </c>
      <c r="BH78" s="297" t="s">
        <v>20</v>
      </c>
      <c r="BI78" s="297" t="s">
        <v>208</v>
      </c>
      <c r="BJ78" s="297" t="s">
        <v>209</v>
      </c>
      <c r="BK78" s="297"/>
      <c r="BL78" s="25"/>
      <c r="BM78" s="297"/>
      <c r="BN78" s="82"/>
      <c r="BO78" s="82"/>
      <c r="BP78" s="82"/>
      <c r="BQ78" s="82"/>
      <c r="BR78" s="82"/>
      <c r="BS78" s="82"/>
      <c r="BT78" s="82"/>
      <c r="BU78" s="82"/>
      <c r="BV78" s="82"/>
      <c r="BW78" s="82"/>
      <c r="BX78" s="82"/>
      <c r="BY78" s="82"/>
      <c r="BZ78" s="82"/>
      <c r="CA78" s="82"/>
      <c r="CB78" s="82"/>
      <c r="CC78" s="82"/>
      <c r="CD78" s="82"/>
      <c r="CE78" s="297" t="s">
        <v>3</v>
      </c>
      <c r="CF78" s="297"/>
      <c r="CG78" s="297" t="s">
        <v>14</v>
      </c>
      <c r="CH78" s="297" t="s">
        <v>15</v>
      </c>
      <c r="CI78" s="297" t="s">
        <v>16</v>
      </c>
      <c r="CJ78" s="297" t="s">
        <v>17</v>
      </c>
      <c r="CK78" s="297" t="s">
        <v>18</v>
      </c>
      <c r="CL78" s="297" t="s">
        <v>19</v>
      </c>
      <c r="CM78" s="297" t="s">
        <v>18</v>
      </c>
      <c r="CN78" s="297" t="s">
        <v>19</v>
      </c>
      <c r="CO78" s="297" t="s">
        <v>20</v>
      </c>
      <c r="CP78" s="297" t="s">
        <v>208</v>
      </c>
      <c r="CQ78" s="297" t="s">
        <v>209</v>
      </c>
      <c r="CR78" s="297"/>
      <c r="CS78" s="309"/>
      <c r="CT78" s="310"/>
      <c r="CU78" s="297" t="s">
        <v>3</v>
      </c>
      <c r="CV78" s="297"/>
      <c r="CW78" s="297" t="s">
        <v>14</v>
      </c>
      <c r="CX78" s="297" t="s">
        <v>15</v>
      </c>
      <c r="CY78" s="297" t="s">
        <v>16</v>
      </c>
      <c r="CZ78" s="297" t="s">
        <v>17</v>
      </c>
      <c r="DA78" s="297" t="s">
        <v>18</v>
      </c>
      <c r="DB78" s="297" t="s">
        <v>19</v>
      </c>
      <c r="DC78" s="297" t="s">
        <v>18</v>
      </c>
      <c r="DD78" s="297" t="s">
        <v>19</v>
      </c>
      <c r="DE78" s="297" t="s">
        <v>20</v>
      </c>
      <c r="DF78" s="297" t="s">
        <v>208</v>
      </c>
      <c r="DG78" s="297" t="s">
        <v>209</v>
      </c>
      <c r="DH78" s="297"/>
      <c r="DI78" s="311"/>
      <c r="DJ78" s="312"/>
      <c r="DK78" s="297" t="s">
        <v>3</v>
      </c>
      <c r="DL78" s="297"/>
      <c r="DM78" s="297" t="s">
        <v>14</v>
      </c>
      <c r="DN78" s="297" t="s">
        <v>15</v>
      </c>
      <c r="DO78" s="297" t="s">
        <v>16</v>
      </c>
      <c r="DP78" s="297" t="s">
        <v>17</v>
      </c>
      <c r="DQ78" s="297" t="s">
        <v>18</v>
      </c>
      <c r="DR78" s="297" t="s">
        <v>19</v>
      </c>
      <c r="DS78" s="297" t="s">
        <v>18</v>
      </c>
      <c r="DT78" s="297" t="s">
        <v>19</v>
      </c>
      <c r="DU78" s="297" t="s">
        <v>20</v>
      </c>
      <c r="DV78" s="297" t="s">
        <v>208</v>
      </c>
      <c r="DW78" s="297" t="s">
        <v>209</v>
      </c>
      <c r="DX78" s="297"/>
      <c r="DY78" s="311"/>
      <c r="DZ78" s="297"/>
    </row>
    <row r="79" spans="1:202" ht="15.75" thickBot="1" x14ac:dyDescent="0.3">
      <c r="A79" s="145" t="s">
        <v>7</v>
      </c>
      <c r="B79" s="145" t="s">
        <v>17</v>
      </c>
      <c r="C79" s="145" t="s">
        <v>24</v>
      </c>
      <c r="D79" s="145" t="s">
        <v>25</v>
      </c>
      <c r="E79" s="145" t="s">
        <v>26</v>
      </c>
      <c r="F79" s="145" t="s">
        <v>27</v>
      </c>
      <c r="G79" s="145" t="s">
        <v>28</v>
      </c>
      <c r="H79" s="145" t="s">
        <v>29</v>
      </c>
      <c r="I79" s="145" t="s">
        <v>23</v>
      </c>
      <c r="J79" s="145" t="s">
        <v>30</v>
      </c>
      <c r="K79" s="145" t="s">
        <v>7</v>
      </c>
      <c r="L79" s="96" t="s">
        <v>240</v>
      </c>
      <c r="M79" s="145" t="s">
        <v>290</v>
      </c>
      <c r="N79" s="145" t="s">
        <v>291</v>
      </c>
      <c r="O79" s="330" t="s">
        <v>292</v>
      </c>
      <c r="P79" s="330" t="s">
        <v>214</v>
      </c>
      <c r="S79" s="82"/>
      <c r="T79" s="82"/>
      <c r="U79" s="82"/>
      <c r="V79" s="82"/>
      <c r="W79" s="82"/>
      <c r="X79" s="82"/>
      <c r="Y79" s="82"/>
      <c r="Z79" s="82"/>
      <c r="AA79" s="82"/>
      <c r="AB79" s="82"/>
      <c r="AC79" s="82"/>
      <c r="AD79" s="82"/>
      <c r="AE79" s="82"/>
      <c r="AF79" s="82"/>
      <c r="AG79" s="82"/>
      <c r="AH79" s="298" t="s">
        <v>7</v>
      </c>
      <c r="AI79" s="298" t="s">
        <v>17</v>
      </c>
      <c r="AJ79" s="298" t="s">
        <v>24</v>
      </c>
      <c r="AK79" s="298" t="s">
        <v>25</v>
      </c>
      <c r="AL79" s="298" t="s">
        <v>26</v>
      </c>
      <c r="AM79" s="298" t="s">
        <v>27</v>
      </c>
      <c r="AN79" s="298" t="s">
        <v>28</v>
      </c>
      <c r="AO79" s="298" t="s">
        <v>29</v>
      </c>
      <c r="AP79" s="298" t="s">
        <v>23</v>
      </c>
      <c r="AQ79" s="298" t="s">
        <v>30</v>
      </c>
      <c r="AR79" s="298" t="s">
        <v>7</v>
      </c>
      <c r="AS79" s="298" t="s">
        <v>210</v>
      </c>
      <c r="AT79" s="298" t="s">
        <v>211</v>
      </c>
      <c r="AU79" s="298" t="s">
        <v>212</v>
      </c>
      <c r="AV79" s="313" t="s">
        <v>213</v>
      </c>
      <c r="AW79" s="313" t="s">
        <v>214</v>
      </c>
      <c r="AX79" s="298" t="s">
        <v>7</v>
      </c>
      <c r="AY79" s="298" t="s">
        <v>17</v>
      </c>
      <c r="AZ79" s="298" t="s">
        <v>24</v>
      </c>
      <c r="BA79" s="298" t="s">
        <v>25</v>
      </c>
      <c r="BB79" s="298" t="s">
        <v>26</v>
      </c>
      <c r="BC79" s="298" t="s">
        <v>27</v>
      </c>
      <c r="BD79" s="298" t="s">
        <v>28</v>
      </c>
      <c r="BE79" s="298" t="s">
        <v>29</v>
      </c>
      <c r="BF79" s="298" t="s">
        <v>23</v>
      </c>
      <c r="BG79" s="298" t="s">
        <v>30</v>
      </c>
      <c r="BH79" s="298" t="s">
        <v>7</v>
      </c>
      <c r="BI79" s="298" t="s">
        <v>210</v>
      </c>
      <c r="BJ79" s="298" t="s">
        <v>211</v>
      </c>
      <c r="BK79" s="298" t="s">
        <v>212</v>
      </c>
      <c r="BL79" s="313" t="s">
        <v>213</v>
      </c>
      <c r="BM79" s="313" t="s">
        <v>214</v>
      </c>
      <c r="BN79" s="82"/>
      <c r="BO79" s="82"/>
      <c r="BP79" s="82"/>
      <c r="BQ79" s="82"/>
      <c r="BR79" s="82"/>
      <c r="BS79" s="82"/>
      <c r="BT79" s="82"/>
      <c r="BU79" s="82"/>
      <c r="BV79" s="82"/>
      <c r="BW79" s="82"/>
      <c r="BX79" s="82"/>
      <c r="BY79" s="82"/>
      <c r="BZ79" s="82"/>
      <c r="CA79" s="82"/>
      <c r="CB79" s="82"/>
      <c r="CC79" s="82"/>
      <c r="CD79" s="82"/>
      <c r="CE79" s="298" t="s">
        <v>7</v>
      </c>
      <c r="CF79" s="298" t="s">
        <v>17</v>
      </c>
      <c r="CG79" s="298" t="s">
        <v>24</v>
      </c>
      <c r="CH79" s="298" t="s">
        <v>25</v>
      </c>
      <c r="CI79" s="298" t="s">
        <v>26</v>
      </c>
      <c r="CJ79" s="298" t="s">
        <v>27</v>
      </c>
      <c r="CK79" s="298" t="s">
        <v>28</v>
      </c>
      <c r="CL79" s="298" t="s">
        <v>29</v>
      </c>
      <c r="CM79" s="298" t="s">
        <v>23</v>
      </c>
      <c r="CN79" s="298" t="s">
        <v>30</v>
      </c>
      <c r="CO79" s="298" t="s">
        <v>7</v>
      </c>
      <c r="CP79" s="298" t="s">
        <v>210</v>
      </c>
      <c r="CQ79" s="298" t="s">
        <v>211</v>
      </c>
      <c r="CR79" s="298" t="s">
        <v>212</v>
      </c>
      <c r="CS79" s="298" t="s">
        <v>215</v>
      </c>
      <c r="CT79" s="298" t="s">
        <v>214</v>
      </c>
      <c r="CU79" s="298" t="s">
        <v>7</v>
      </c>
      <c r="CV79" s="298" t="s">
        <v>17</v>
      </c>
      <c r="CW79" s="298" t="s">
        <v>24</v>
      </c>
      <c r="CX79" s="298" t="s">
        <v>25</v>
      </c>
      <c r="CY79" s="298" t="s">
        <v>26</v>
      </c>
      <c r="CZ79" s="298" t="s">
        <v>27</v>
      </c>
      <c r="DA79" s="298" t="s">
        <v>28</v>
      </c>
      <c r="DB79" s="298" t="s">
        <v>29</v>
      </c>
      <c r="DC79" s="298" t="s">
        <v>23</v>
      </c>
      <c r="DD79" s="298" t="s">
        <v>30</v>
      </c>
      <c r="DE79" s="298" t="s">
        <v>7</v>
      </c>
      <c r="DF79" s="298" t="s">
        <v>210</v>
      </c>
      <c r="DG79" s="298" t="s">
        <v>211</v>
      </c>
      <c r="DH79" s="298" t="s">
        <v>212</v>
      </c>
      <c r="DI79" s="298" t="s">
        <v>215</v>
      </c>
      <c r="DJ79" s="298" t="s">
        <v>214</v>
      </c>
      <c r="DK79" s="298" t="s">
        <v>7</v>
      </c>
      <c r="DL79" s="298" t="s">
        <v>17</v>
      </c>
      <c r="DM79" s="298" t="s">
        <v>24</v>
      </c>
      <c r="DN79" s="298" t="s">
        <v>25</v>
      </c>
      <c r="DO79" s="298" t="s">
        <v>26</v>
      </c>
      <c r="DP79" s="298" t="s">
        <v>27</v>
      </c>
      <c r="DQ79" s="298" t="s">
        <v>28</v>
      </c>
      <c r="DR79" s="298" t="s">
        <v>29</v>
      </c>
      <c r="DS79" s="298" t="s">
        <v>23</v>
      </c>
      <c r="DT79" s="298" t="s">
        <v>30</v>
      </c>
      <c r="DU79" s="298" t="s">
        <v>7</v>
      </c>
      <c r="DV79" s="298" t="s">
        <v>210</v>
      </c>
      <c r="DW79" s="298" t="s">
        <v>211</v>
      </c>
      <c r="DX79" s="298" t="s">
        <v>212</v>
      </c>
      <c r="DY79" s="298" t="s">
        <v>215</v>
      </c>
      <c r="DZ79" s="298" t="s">
        <v>214</v>
      </c>
    </row>
    <row r="80" spans="1:202" x14ac:dyDescent="0.25">
      <c r="A80" s="137"/>
      <c r="K80" s="120"/>
      <c r="L80" s="88">
        <f>D81+E81</f>
        <v>0</v>
      </c>
      <c r="M80" s="318">
        <f>(1+'Table 7-10-OptionBudget'!$D$14)^(-A80)</f>
        <v>1</v>
      </c>
      <c r="N80" s="174"/>
      <c r="P80" s="175"/>
      <c r="AH80" s="137"/>
      <c r="AS80" s="314"/>
      <c r="AT80" s="315">
        <f>(1+'Table 7-10-OptionBudget'!$D$14)^(-AH80)</f>
        <v>1</v>
      </c>
      <c r="AU80" s="316"/>
      <c r="AV80" s="101"/>
      <c r="AW80" s="102"/>
      <c r="BI80" s="314"/>
      <c r="BJ80" s="315">
        <f>(1+'Table 7-10-OptionBudget'!$D$14)^(-AX80)</f>
        <v>1</v>
      </c>
      <c r="BK80" s="316"/>
      <c r="BL80" s="149"/>
      <c r="BM80" s="102"/>
      <c r="CE80" s="137"/>
      <c r="CP80" s="314"/>
      <c r="CQ80" s="315">
        <f>(1+'Table 7-10-OptionBudget'!$D$14)^(-CE80)</f>
        <v>1</v>
      </c>
      <c r="CR80" s="316"/>
      <c r="CS80" s="317"/>
      <c r="CT80" s="94"/>
      <c r="DF80" s="88"/>
      <c r="DG80" s="318">
        <f>(1+'Table 7-10-OptionBudget'!$D$14)^(-CU80)</f>
        <v>1</v>
      </c>
      <c r="DH80" s="174"/>
      <c r="DI80" s="88"/>
      <c r="DJ80" s="120"/>
      <c r="DV80" s="88"/>
      <c r="DW80" s="318">
        <f>(1+'Table 7-10-OptionBudget'!$D$14)^(-DK80)</f>
        <v>1</v>
      </c>
      <c r="DX80" s="174"/>
      <c r="DY80" s="300"/>
      <c r="DZ80" s="120"/>
    </row>
    <row r="81" spans="1:147" x14ac:dyDescent="0.25">
      <c r="A81" s="137">
        <v>1</v>
      </c>
      <c r="B81" s="319"/>
      <c r="C81" s="320"/>
      <c r="D81" s="88">
        <f t="shared" ref="D81:E100" si="114">IF((D49-D18)&lt;0,(D18-D49),0)</f>
        <v>0</v>
      </c>
      <c r="E81" s="88">
        <f t="shared" si="114"/>
        <v>0</v>
      </c>
      <c r="F81" s="88">
        <f t="shared" ref="F81:F100" si="115">F49-F18</f>
        <v>0</v>
      </c>
      <c r="G81" s="320"/>
      <c r="H81" s="88">
        <f t="shared" ref="H81:H100" si="116">IF((H49-H18)&lt;0,-(H49-H18),0)</f>
        <v>75.320642652437073</v>
      </c>
      <c r="I81" s="320"/>
      <c r="J81" s="88">
        <f t="shared" ref="J81:J100" si="117">IF((J49-J18)&lt;0,-(J49-J18),0)</f>
        <v>14111.322400934063</v>
      </c>
      <c r="K81" s="320"/>
      <c r="L81" s="88">
        <f t="shared" ref="L81:L100" si="118">D82+E82+H81+J81</f>
        <v>14186.6430435865</v>
      </c>
      <c r="M81" s="318">
        <f>(1+'Table 7-10-OptionBudget'!$D$14)^(-A81)</f>
        <v>0.95238095238095233</v>
      </c>
      <c r="N81" s="174">
        <f t="shared" ref="N81:N99" si="119">(H81+J81+N82)*(M81/M80)+(D81+E81)</f>
        <v>311269.51574484084</v>
      </c>
      <c r="O81" s="85">
        <f t="shared" ref="O81:O101" si="120">(B18-N$81*(A81=1))+(D18+E18+F18)+H17+J17</f>
        <v>2943569.6764502814</v>
      </c>
      <c r="P81" s="175">
        <f t="shared" ref="P81:P100" si="121">(P80+B18-N$81*(A81=1)+D18+E18+F18)*(1+O$77)+H18+J18</f>
        <v>2532151.7991722147</v>
      </c>
      <c r="S81" s="90"/>
      <c r="T81" s="90"/>
      <c r="AH81" s="137">
        <v>1</v>
      </c>
      <c r="AI81" s="319"/>
      <c r="AJ81" s="320"/>
      <c r="AK81" s="88">
        <f t="shared" ref="AK81:AM100" si="122">IF((AK49-AK18)&lt;0,(AK18-AK49),0)</f>
        <v>0</v>
      </c>
      <c r="AL81" s="88">
        <f t="shared" si="122"/>
        <v>0</v>
      </c>
      <c r="AM81" s="88">
        <f t="shared" si="122"/>
        <v>0</v>
      </c>
      <c r="AN81" s="321"/>
      <c r="AO81" s="88">
        <f t="shared" ref="AO81:AO100" si="123">IF((AO49-AO18)&lt;0,-(AO49-AO18),0)</f>
        <v>75.320642652437073</v>
      </c>
      <c r="AP81" s="321"/>
      <c r="AQ81" s="88">
        <f t="shared" ref="AQ81:AQ100" si="124">IF((AQ49-AQ18)&lt;0,-(AQ49-AQ18),0)</f>
        <v>14111.322400934063</v>
      </c>
      <c r="AR81" s="320"/>
      <c r="AS81" s="322">
        <f t="shared" ref="AS81:AS100" si="125">AK82+AL82+AO81+AQ81</f>
        <v>14307.633711611961</v>
      </c>
      <c r="AT81" s="318">
        <f>(1+'Table 7-10-OptionBudget'!$D$14)^(-AH81)</f>
        <v>0.95238095238095233</v>
      </c>
      <c r="AU81" s="174">
        <f t="shared" ref="AU81:AU99" si="126">(AO81+AQ81+AU82)*(AT81/AT80)+(AK81+AL81)</f>
        <v>376593.95956261293</v>
      </c>
      <c r="AV81" s="85">
        <f t="shared" ref="AV81:AV101" si="127">(AI18-AU$81*(AH81=1))+(AK18+AL18+AM18)+AO17+AQ17</f>
        <v>2878245.2326325094</v>
      </c>
      <c r="AW81" s="175">
        <f t="shared" ref="AW81:AW100" si="128">(AW80+AI18-AU$81*(AH81=1)+AK18+AL18+AM18)*(1+AV$77)+AO18+AQ18</f>
        <v>2451458.2150785094</v>
      </c>
      <c r="AX81" s="75">
        <v>1</v>
      </c>
      <c r="AY81" s="319"/>
      <c r="AZ81" s="320"/>
      <c r="BA81" s="88">
        <f t="shared" ref="BA81:BC100" si="129">IF((BA49-BA18)&lt;0,(BA18-BA49),0)</f>
        <v>0</v>
      </c>
      <c r="BB81" s="88">
        <f t="shared" si="129"/>
        <v>0</v>
      </c>
      <c r="BC81" s="88">
        <f t="shared" si="129"/>
        <v>0</v>
      </c>
      <c r="BD81" s="321"/>
      <c r="BE81" s="88">
        <f t="shared" ref="BE81:BE100" si="130">IF((BE49-BE18)&lt;0,-(BE49-BE18),0)</f>
        <v>0</v>
      </c>
      <c r="BF81" s="321"/>
      <c r="BG81" s="88">
        <f t="shared" ref="BG81:BG100" si="131">IF((BG49-BG18)&lt;0,-(BG49-BG18),0)</f>
        <v>0</v>
      </c>
      <c r="BH81" s="320"/>
      <c r="BI81" s="322">
        <f t="shared" ref="BI81:BI100" si="132">BA82+BB82+BE81+BG81</f>
        <v>0</v>
      </c>
      <c r="BJ81" s="318">
        <f>(1+'Table 7-10-OptionBudget'!$D$14)^(-AX81)</f>
        <v>0.95238095238095233</v>
      </c>
      <c r="BK81" s="174">
        <f t="shared" ref="BK81:BK99" si="133">(BE81+BG81+BK82)*(BJ81/BJ80)+(BA81+BB81)</f>
        <v>340759.35197315132</v>
      </c>
      <c r="BL81" s="300"/>
      <c r="BM81" s="175"/>
      <c r="CE81" s="137">
        <v>1</v>
      </c>
      <c r="CF81" s="319"/>
      <c r="CG81" s="320"/>
      <c r="CH81" s="88">
        <f t="shared" ref="CH81:CJ100" si="134">IF((CH49-CH18)&lt;0,(CH18-CH49),0)</f>
        <v>0</v>
      </c>
      <c r="CI81" s="88">
        <f t="shared" si="134"/>
        <v>0</v>
      </c>
      <c r="CJ81" s="88">
        <f t="shared" si="134"/>
        <v>0</v>
      </c>
      <c r="CK81" s="321"/>
      <c r="CL81" s="88">
        <f t="shared" ref="CL81:CL100" si="135">IF((CL49-CL18)&lt;0,-(CL49-CL18),0)</f>
        <v>75.320642652437073</v>
      </c>
      <c r="CM81" s="321"/>
      <c r="CN81" s="88">
        <f t="shared" ref="CN81:CN100" si="136">IF((CN49-CN18)&lt;0,-(CN49-CN18),0)</f>
        <v>14111.322400934063</v>
      </c>
      <c r="CO81" s="320"/>
      <c r="CP81" s="322">
        <f t="shared" ref="CP81:CP100" si="137">CH82+CI82+CL81+CN81</f>
        <v>14307.633711611961</v>
      </c>
      <c r="CQ81" s="318">
        <f>(1+'Table 7-10-OptionBudget'!$D$14)^(-CE81)</f>
        <v>0.95238095238095233</v>
      </c>
      <c r="CR81" s="174">
        <f t="shared" ref="CR81:CR99" si="138">(CL81+CN81+CR82)*(CQ81/CQ80)+(CH81+CI81)</f>
        <v>414014.18036860693</v>
      </c>
      <c r="CS81" s="85">
        <f t="shared" ref="CS81:CS101" si="139">(CF18-CR$81*(CE81=1))+(CH18+CI18+CJ18)+CL17+CN17</f>
        <v>2840825.0118265152</v>
      </c>
      <c r="CT81" s="175">
        <f t="shared" ref="CT81:CT100" si="140">(CT80+CF18-CR$81*(CE81=1)+CH18+CI18+CJ18)*(1+CS$77)+CL18+CN18</f>
        <v>2408963.7185774487</v>
      </c>
      <c r="CU81" s="75">
        <v>1</v>
      </c>
      <c r="CV81" s="319"/>
      <c r="CW81" s="320"/>
      <c r="CX81" s="88">
        <f t="shared" ref="CX81:CZ100" si="141">IF((CX49-CX18)&lt;0,(CX18-CX49),0)</f>
        <v>0</v>
      </c>
      <c r="CY81" s="88">
        <f t="shared" si="141"/>
        <v>0</v>
      </c>
      <c r="CZ81" s="88">
        <f t="shared" si="141"/>
        <v>0</v>
      </c>
      <c r="DA81" s="321"/>
      <c r="DB81" s="88">
        <f t="shared" ref="DB81:DB100" si="142">IF((DB49-DB18)&lt;0,-(DB49-DB18),0)</f>
        <v>0</v>
      </c>
      <c r="DC81" s="321"/>
      <c r="DD81" s="88">
        <f t="shared" ref="DD81:DD100" si="143">IF((DD49-DD18)&lt;0,-(DD49-DD18),0)</f>
        <v>0</v>
      </c>
      <c r="DE81" s="320"/>
      <c r="DF81" s="88">
        <f t="shared" ref="DF81:DF100" si="144">CX82+CY82+DB81+DD81</f>
        <v>0</v>
      </c>
      <c r="DG81" s="318">
        <f>(1+'Table 7-10-OptionBudget'!$D$14)^(-CU81)</f>
        <v>0.95238095238095233</v>
      </c>
      <c r="DH81" s="174">
        <f t="shared" ref="DH81:DH99" si="145">(DB81+DD81+DH82)*(DG81/DG80)+(CX81+CY81)</f>
        <v>375774.83396744297</v>
      </c>
      <c r="DI81" s="88"/>
      <c r="DJ81" s="175"/>
      <c r="DK81" s="75">
        <v>1</v>
      </c>
      <c r="DL81" s="319"/>
      <c r="DM81" s="320"/>
      <c r="DN81" s="88"/>
      <c r="DO81" s="88"/>
      <c r="DP81" s="88"/>
      <c r="DQ81" s="321"/>
      <c r="DR81" s="88"/>
      <c r="DS81" s="321"/>
      <c r="DT81" s="88"/>
      <c r="DU81" s="320"/>
      <c r="DV81" s="88"/>
      <c r="DW81" s="318">
        <f>(1+'Table 7-10-OptionBudget'!$D$14)^(-DK81)</f>
        <v>0.95238095238095233</v>
      </c>
      <c r="DX81" s="174">
        <f t="shared" ref="DX81:DX99" si="146">(DR81+DT81+DX82)*(DW81/DW80)+(DN81+DO81)</f>
        <v>343621.79282933881</v>
      </c>
      <c r="DY81" s="88"/>
      <c r="DZ81" s="175"/>
    </row>
    <row r="82" spans="1:147" x14ac:dyDescent="0.25">
      <c r="A82" s="137">
        <v>2</v>
      </c>
      <c r="B82" s="319"/>
      <c r="C82" s="320"/>
      <c r="D82" s="88">
        <f t="shared" si="114"/>
        <v>0</v>
      </c>
      <c r="E82" s="88">
        <f t="shared" si="114"/>
        <v>0</v>
      </c>
      <c r="F82" s="88">
        <f t="shared" si="115"/>
        <v>0</v>
      </c>
      <c r="G82" s="320"/>
      <c r="H82" s="88">
        <f t="shared" si="116"/>
        <v>174.17155686034721</v>
      </c>
      <c r="I82" s="320"/>
      <c r="J82" s="88">
        <f t="shared" si="117"/>
        <v>18979.632888850989</v>
      </c>
      <c r="K82" s="320"/>
      <c r="L82" s="88">
        <f t="shared" si="118"/>
        <v>19153.804445711336</v>
      </c>
      <c r="M82" s="318">
        <f>(1+'Table 7-10-OptionBudget'!$D$14)^(-A82)</f>
        <v>0.90702947845804982</v>
      </c>
      <c r="N82" s="174">
        <f t="shared" si="119"/>
        <v>312646.34848849638</v>
      </c>
      <c r="O82" s="85">
        <f t="shared" si="120"/>
        <v>-688961.79557674215</v>
      </c>
      <c r="P82" s="175">
        <f t="shared" si="121"/>
        <v>2085887.3143070713</v>
      </c>
      <c r="AH82" s="137">
        <v>2</v>
      </c>
      <c r="AI82" s="319"/>
      <c r="AJ82" s="320"/>
      <c r="AK82" s="88">
        <f t="shared" si="122"/>
        <v>0</v>
      </c>
      <c r="AL82" s="88">
        <f t="shared" si="122"/>
        <v>120.99066802546076</v>
      </c>
      <c r="AM82" s="88">
        <f t="shared" si="122"/>
        <v>0</v>
      </c>
      <c r="AN82" s="321"/>
      <c r="AO82" s="88">
        <f t="shared" si="123"/>
        <v>172.57248187179175</v>
      </c>
      <c r="AP82" s="321"/>
      <c r="AQ82" s="88">
        <f t="shared" si="124"/>
        <v>18805.380233643577</v>
      </c>
      <c r="AR82" s="320"/>
      <c r="AS82" s="322">
        <f t="shared" si="125"/>
        <v>19084.249353415213</v>
      </c>
      <c r="AT82" s="318">
        <f>(1+'Table 7-10-OptionBudget'!$D$14)^(-AH82)</f>
        <v>0.90702947845804982</v>
      </c>
      <c r="AU82" s="174">
        <f t="shared" si="126"/>
        <v>381237.01449715707</v>
      </c>
      <c r="AV82" s="85">
        <f t="shared" si="127"/>
        <v>-582917.05662648682</v>
      </c>
      <c r="AW82" s="175">
        <f t="shared" si="128"/>
        <v>2087931.9031449216</v>
      </c>
      <c r="AX82" s="75">
        <v>2</v>
      </c>
      <c r="AY82" s="319"/>
      <c r="AZ82" s="320"/>
      <c r="BA82" s="88">
        <f t="shared" si="129"/>
        <v>0</v>
      </c>
      <c r="BB82" s="88">
        <f t="shared" si="129"/>
        <v>0</v>
      </c>
      <c r="BC82" s="88">
        <f t="shared" si="129"/>
        <v>0</v>
      </c>
      <c r="BD82" s="321"/>
      <c r="BE82" s="88">
        <f t="shared" si="130"/>
        <v>89.703981384608142</v>
      </c>
      <c r="BF82" s="321"/>
      <c r="BG82" s="88">
        <f t="shared" si="131"/>
        <v>9775.1244005546905</v>
      </c>
      <c r="BH82" s="320"/>
      <c r="BI82" s="322">
        <f t="shared" si="132"/>
        <v>9864.8283819392982</v>
      </c>
      <c r="BJ82" s="318">
        <f>(1+'Table 7-10-OptionBudget'!$D$14)^(-AX82)</f>
        <v>0.90702947845804982</v>
      </c>
      <c r="BK82" s="174">
        <f t="shared" si="133"/>
        <v>357797.31957180891</v>
      </c>
      <c r="BL82" s="300">
        <f t="shared" ref="BL82:BL101" si="147">(AY19-BK$82*(AX82=2))+(BA19+BB19+BC19)+BE18+BG18</f>
        <v>2455926.7792595359</v>
      </c>
      <c r="BM82" s="270">
        <f t="shared" ref="BM82:BM100" si="148">(BM81+AY19-BK$82*(AX82=2)+BA19+BB19+BC19)*(1+BL$77)+BE19+BG19</f>
        <v>2175107.070276448</v>
      </c>
      <c r="BN82" s="85"/>
      <c r="BO82" s="88"/>
      <c r="CE82" s="137">
        <v>2</v>
      </c>
      <c r="CF82" s="319"/>
      <c r="CG82" s="320"/>
      <c r="CH82" s="88">
        <f t="shared" si="134"/>
        <v>0</v>
      </c>
      <c r="CI82" s="88">
        <f t="shared" si="134"/>
        <v>120.99066802546076</v>
      </c>
      <c r="CJ82" s="88">
        <f t="shared" si="134"/>
        <v>0</v>
      </c>
      <c r="CK82" s="321"/>
      <c r="CL82" s="88">
        <f t="shared" si="135"/>
        <v>172.57248187179175</v>
      </c>
      <c r="CM82" s="321"/>
      <c r="CN82" s="88">
        <f t="shared" si="136"/>
        <v>18805.380233643577</v>
      </c>
      <c r="CO82" s="320"/>
      <c r="CP82" s="322">
        <f t="shared" si="137"/>
        <v>19117.99256097489</v>
      </c>
      <c r="CQ82" s="318">
        <f>(1+'Table 7-10-OptionBudget'!$D$14)^(-CE82)</f>
        <v>0.90702947845804982</v>
      </c>
      <c r="CR82" s="174">
        <f t="shared" si="138"/>
        <v>420528.2463434508</v>
      </c>
      <c r="CS82" s="85">
        <f t="shared" si="139"/>
        <v>-582917.05662648682</v>
      </c>
      <c r="CT82" s="175">
        <f t="shared" si="140"/>
        <v>2041034.744964038</v>
      </c>
      <c r="CU82" s="75">
        <v>2</v>
      </c>
      <c r="CV82" s="319"/>
      <c r="CW82" s="320"/>
      <c r="CX82" s="88">
        <f t="shared" si="141"/>
        <v>0</v>
      </c>
      <c r="CY82" s="88">
        <f t="shared" si="141"/>
        <v>0</v>
      </c>
      <c r="CZ82" s="88">
        <f t="shared" si="141"/>
        <v>0</v>
      </c>
      <c r="DA82" s="321"/>
      <c r="DB82" s="88">
        <f t="shared" si="142"/>
        <v>89.703981384608142</v>
      </c>
      <c r="DC82" s="321"/>
      <c r="DD82" s="88">
        <f t="shared" si="143"/>
        <v>9775.1244005546905</v>
      </c>
      <c r="DE82" s="320"/>
      <c r="DF82" s="88">
        <f t="shared" si="144"/>
        <v>9868.6605268521362</v>
      </c>
      <c r="DG82" s="318">
        <f>(1+'Table 7-10-OptionBudget'!$D$14)^(-CU82)</f>
        <v>0.90702947845804982</v>
      </c>
      <c r="DH82" s="174">
        <f t="shared" si="145"/>
        <v>394563.57566581515</v>
      </c>
      <c r="DI82" s="300">
        <f t="shared" ref="DI82:DI101" si="149">(CV19-DH$82*(CU82=2))+(CX19+CY19+CZ19)+DB18+DD18</f>
        <v>2419160.5231655296</v>
      </c>
      <c r="DJ82" s="175">
        <f t="shared" ref="DJ82:DJ101" si="150">(DJ81+CV19-DH$82*(CU82=2)+CX19+CY19+CZ19)*(1+DI$77)+DB19+DD19</f>
        <v>2131759.6510780011</v>
      </c>
      <c r="DK82" s="75">
        <v>2</v>
      </c>
      <c r="DL82" s="319"/>
      <c r="DM82" s="320"/>
      <c r="DN82" s="88">
        <f t="shared" ref="DN82:DP100" si="151">IF((DN50-DN19)&lt;0,(DN19-DN50),0)</f>
        <v>0</v>
      </c>
      <c r="DO82" s="88">
        <f t="shared" si="151"/>
        <v>0</v>
      </c>
      <c r="DP82" s="88">
        <f t="shared" si="151"/>
        <v>0</v>
      </c>
      <c r="DQ82" s="321"/>
      <c r="DR82" s="88">
        <f t="shared" ref="DR82:DR100" si="152">IF((DR50-DR19)&lt;0,-(DR50-DR19),0)</f>
        <v>0</v>
      </c>
      <c r="DS82" s="321"/>
      <c r="DT82" s="88">
        <f t="shared" ref="DT82:DT100" si="153">IF((DT50-DT19)&lt;0,-(DT50-DT19),0)</f>
        <v>0</v>
      </c>
      <c r="DU82" s="320"/>
      <c r="DV82" s="88">
        <f t="shared" ref="DV82:DV100" si="154">DN83+DO83+DR82+DT82</f>
        <v>0</v>
      </c>
      <c r="DW82" s="318">
        <f>(1+'Table 7-10-OptionBudget'!$D$14)^(-DK82)</f>
        <v>0.90702947845804982</v>
      </c>
      <c r="DX82" s="174">
        <f t="shared" si="146"/>
        <v>360802.88247080578</v>
      </c>
      <c r="DY82" s="300"/>
      <c r="DZ82" s="175"/>
      <c r="EB82" s="85"/>
      <c r="EC82" s="88"/>
      <c r="ED82" s="88"/>
      <c r="EE82" s="88"/>
      <c r="EF82" s="88"/>
      <c r="EG82" s="88"/>
      <c r="EH82" s="88"/>
      <c r="EI82" s="88"/>
      <c r="EJ82" s="88"/>
      <c r="EK82" s="88"/>
      <c r="EL82" s="88"/>
      <c r="EM82" s="88"/>
      <c r="EN82" s="88"/>
      <c r="EO82" s="85"/>
      <c r="EP82" s="85"/>
      <c r="EQ82" s="85"/>
    </row>
    <row r="83" spans="1:147" x14ac:dyDescent="0.25">
      <c r="A83" s="137">
        <v>3</v>
      </c>
      <c r="B83" s="319"/>
      <c r="C83" s="320"/>
      <c r="D83" s="88">
        <f t="shared" si="114"/>
        <v>0</v>
      </c>
      <c r="E83" s="88">
        <f t="shared" si="114"/>
        <v>0</v>
      </c>
      <c r="F83" s="88">
        <f t="shared" si="115"/>
        <v>0</v>
      </c>
      <c r="G83" s="320"/>
      <c r="H83" s="88">
        <f t="shared" si="116"/>
        <v>293.9223245893495</v>
      </c>
      <c r="I83" s="320"/>
      <c r="J83" s="88">
        <f t="shared" si="117"/>
        <v>20524.616480083001</v>
      </c>
      <c r="K83" s="320"/>
      <c r="L83" s="88">
        <f t="shared" si="118"/>
        <v>20818.538804672349</v>
      </c>
      <c r="M83" s="318">
        <f>(1+'Table 7-10-OptionBudget'!$D$14)^(-A83)</f>
        <v>0.86383759853147601</v>
      </c>
      <c r="N83" s="174">
        <f t="shared" si="119"/>
        <v>309124.86146720988</v>
      </c>
      <c r="O83" s="85">
        <f t="shared" si="120"/>
        <v>-533283.70845035324</v>
      </c>
      <c r="P83" s="175">
        <f t="shared" si="121"/>
        <v>1707130.1207583598</v>
      </c>
      <c r="AH83" s="137">
        <v>3</v>
      </c>
      <c r="AI83" s="319"/>
      <c r="AJ83" s="320"/>
      <c r="AK83" s="88">
        <f t="shared" si="122"/>
        <v>0</v>
      </c>
      <c r="AL83" s="88">
        <f t="shared" si="122"/>
        <v>106.29663789984352</v>
      </c>
      <c r="AM83" s="88">
        <f t="shared" si="122"/>
        <v>0</v>
      </c>
      <c r="AN83" s="321"/>
      <c r="AO83" s="88">
        <f t="shared" si="123"/>
        <v>293.28762027158746</v>
      </c>
      <c r="AP83" s="321"/>
      <c r="AQ83" s="88">
        <f t="shared" si="124"/>
        <v>20480.29503318877</v>
      </c>
      <c r="AR83" s="320"/>
      <c r="AS83" s="322">
        <f t="shared" si="125"/>
        <v>20869.112823797241</v>
      </c>
      <c r="AT83" s="318">
        <f>(1+'Table 7-10-OptionBudget'!$D$14)^(-AH83)</f>
        <v>0.86383759853147601</v>
      </c>
      <c r="AU83" s="174">
        <f t="shared" si="126"/>
        <v>381193.87230507284</v>
      </c>
      <c r="AV83" s="85">
        <f t="shared" si="127"/>
        <v>-428100.94786833768</v>
      </c>
      <c r="AW83" s="175">
        <f t="shared" si="128"/>
        <v>1799633.0564499493</v>
      </c>
      <c r="AX83" s="75">
        <v>3</v>
      </c>
      <c r="AY83" s="319"/>
      <c r="AZ83" s="320"/>
      <c r="BA83" s="88">
        <f t="shared" si="129"/>
        <v>0</v>
      </c>
      <c r="BB83" s="88">
        <f t="shared" si="129"/>
        <v>0</v>
      </c>
      <c r="BC83" s="88">
        <f t="shared" si="129"/>
        <v>0</v>
      </c>
      <c r="BD83" s="321"/>
      <c r="BE83" s="88">
        <f t="shared" si="130"/>
        <v>205.28364800628287</v>
      </c>
      <c r="BF83" s="321"/>
      <c r="BG83" s="88">
        <f t="shared" si="131"/>
        <v>14334.97149577862</v>
      </c>
      <c r="BH83" s="320"/>
      <c r="BI83" s="322">
        <f t="shared" si="132"/>
        <v>14540.255143784903</v>
      </c>
      <c r="BJ83" s="318">
        <f>(1+'Table 7-10-OptionBudget'!$D$14)^(-AX83)</f>
        <v>0.86383759853147601</v>
      </c>
      <c r="BK83" s="174">
        <f t="shared" si="133"/>
        <v>365822.35716846003</v>
      </c>
      <c r="BL83" s="300">
        <f t="shared" si="147"/>
        <v>-450820.75473480462</v>
      </c>
      <c r="BM83" s="270">
        <f t="shared" si="148"/>
        <v>1875388.9277559444</v>
      </c>
      <c r="CE83" s="137">
        <v>3</v>
      </c>
      <c r="CF83" s="319"/>
      <c r="CG83" s="320"/>
      <c r="CH83" s="88">
        <f t="shared" si="134"/>
        <v>0</v>
      </c>
      <c r="CI83" s="88">
        <f t="shared" si="134"/>
        <v>140.03984545952153</v>
      </c>
      <c r="CJ83" s="88">
        <f t="shared" si="134"/>
        <v>0</v>
      </c>
      <c r="CK83" s="321"/>
      <c r="CL83" s="88">
        <f t="shared" si="135"/>
        <v>292.51730334155354</v>
      </c>
      <c r="CM83" s="321"/>
      <c r="CN83" s="88">
        <f t="shared" si="136"/>
        <v>20426.503748096147</v>
      </c>
      <c r="CO83" s="320"/>
      <c r="CP83" s="322">
        <f t="shared" si="137"/>
        <v>20844.865051918681</v>
      </c>
      <c r="CQ83" s="318">
        <f>(1+'Table 7-10-OptionBudget'!$D$14)^(-CE83)</f>
        <v>0.86383759853147601</v>
      </c>
      <c r="CR83" s="174">
        <f t="shared" si="138"/>
        <v>422449.66574368125</v>
      </c>
      <c r="CS83" s="85">
        <f t="shared" si="139"/>
        <v>-388857.02339550911</v>
      </c>
      <c r="CT83" s="175">
        <f t="shared" si="140"/>
        <v>1784882.6680333167</v>
      </c>
      <c r="CU83" s="75">
        <v>3</v>
      </c>
      <c r="CV83" s="319"/>
      <c r="CW83" s="320"/>
      <c r="CX83" s="88">
        <f t="shared" si="141"/>
        <v>0</v>
      </c>
      <c r="CY83" s="88">
        <f t="shared" si="141"/>
        <v>3.8321449128379754</v>
      </c>
      <c r="CZ83" s="88">
        <f t="shared" si="141"/>
        <v>0</v>
      </c>
      <c r="DA83" s="321"/>
      <c r="DB83" s="88">
        <f t="shared" si="142"/>
        <v>202.83553585202981</v>
      </c>
      <c r="DC83" s="321"/>
      <c r="DD83" s="88">
        <f t="shared" si="143"/>
        <v>14164.019652850402</v>
      </c>
      <c r="DE83" s="320"/>
      <c r="DF83" s="88">
        <f t="shared" si="144"/>
        <v>14369.374140344587</v>
      </c>
      <c r="DG83" s="318">
        <f>(1+'Table 7-10-OptionBudget'!$D$14)^(-CU83)</f>
        <v>0.86383759853147601</v>
      </c>
      <c r="DH83" s="174">
        <f t="shared" si="145"/>
        <v>404426.92606716661</v>
      </c>
      <c r="DI83" s="300">
        <f t="shared" si="149"/>
        <v>-409494.11031205649</v>
      </c>
      <c r="DJ83" s="175">
        <f t="shared" si="150"/>
        <v>1864282.1555236466</v>
      </c>
      <c r="DK83" s="75">
        <v>3</v>
      </c>
      <c r="DL83" s="319"/>
      <c r="DM83" s="320"/>
      <c r="DN83" s="88">
        <f t="shared" si="151"/>
        <v>0</v>
      </c>
      <c r="DO83" s="88">
        <f t="shared" si="151"/>
        <v>0</v>
      </c>
      <c r="DP83" s="88">
        <f t="shared" si="151"/>
        <v>0</v>
      </c>
      <c r="DQ83" s="321"/>
      <c r="DR83" s="88">
        <f t="shared" si="152"/>
        <v>103.89352806250281</v>
      </c>
      <c r="DS83" s="321"/>
      <c r="DT83" s="88">
        <f t="shared" si="153"/>
        <v>7254.8923298862355</v>
      </c>
      <c r="DU83" s="320"/>
      <c r="DV83" s="88">
        <f t="shared" si="154"/>
        <v>7358.7858579487383</v>
      </c>
      <c r="DW83" s="318">
        <f>(1+'Table 7-10-OptionBudget'!$D$14)^(-DK83)</f>
        <v>0.86383759853147601</v>
      </c>
      <c r="DX83" s="174">
        <f t="shared" si="146"/>
        <v>378843.0265943461</v>
      </c>
      <c r="DY83" s="300">
        <f t="shared" ref="DY83:DY101" si="155">(DL20-DX$83*(DK83=3))+(DN20+DO20+DP20)+DR19+DT19</f>
        <v>2108897.4552978035</v>
      </c>
      <c r="DZ83" s="175">
        <f t="shared" ref="DZ83:DZ101" si="156">(DZ82+DL20-DX$83*(DK83=3)+DN20+DO20+DP20)*(1+DY$77)+DR20+DT20</f>
        <v>1906916.0735745323</v>
      </c>
      <c r="EB83" s="85"/>
      <c r="EC83" s="88"/>
      <c r="ED83" s="88"/>
      <c r="EE83" s="88"/>
      <c r="EF83" s="88"/>
      <c r="EG83" s="88"/>
      <c r="EH83" s="88"/>
      <c r="EI83" s="88"/>
      <c r="EJ83" s="88"/>
      <c r="EK83" s="88"/>
      <c r="EL83" s="88"/>
      <c r="EM83" s="88"/>
      <c r="EN83" s="88"/>
      <c r="EO83" s="85"/>
      <c r="EP83" s="85"/>
      <c r="EQ83" s="85"/>
    </row>
    <row r="84" spans="1:147" x14ac:dyDescent="0.25">
      <c r="A84" s="137">
        <v>4</v>
      </c>
      <c r="B84" s="319"/>
      <c r="C84" s="320"/>
      <c r="D84" s="88">
        <f t="shared" si="114"/>
        <v>0</v>
      </c>
      <c r="E84" s="88">
        <f t="shared" si="114"/>
        <v>0</v>
      </c>
      <c r="F84" s="88">
        <f t="shared" si="115"/>
        <v>0</v>
      </c>
      <c r="G84" s="320"/>
      <c r="H84" s="88">
        <f t="shared" si="116"/>
        <v>411.87056018993462</v>
      </c>
      <c r="I84" s="320"/>
      <c r="J84" s="88">
        <f t="shared" si="117"/>
        <v>21640.329554316297</v>
      </c>
      <c r="K84" s="320"/>
      <c r="L84" s="88">
        <f t="shared" si="118"/>
        <v>22052.200114506231</v>
      </c>
      <c r="M84" s="318">
        <f>(1+'Table 7-10-OptionBudget'!$D$14)^(-A84)</f>
        <v>0.82270247479188197</v>
      </c>
      <c r="N84" s="174">
        <f t="shared" si="119"/>
        <v>303762.56573589804</v>
      </c>
      <c r="O84" s="85">
        <f t="shared" si="120"/>
        <v>-443494.90865141677</v>
      </c>
      <c r="P84" s="175">
        <f t="shared" si="121"/>
        <v>1363468.4336033943</v>
      </c>
      <c r="AH84" s="137">
        <v>4</v>
      </c>
      <c r="AI84" s="319"/>
      <c r="AJ84" s="320"/>
      <c r="AK84" s="88">
        <f t="shared" si="122"/>
        <v>0</v>
      </c>
      <c r="AL84" s="88">
        <f t="shared" si="122"/>
        <v>95.530170336882293</v>
      </c>
      <c r="AM84" s="88">
        <f t="shared" si="122"/>
        <v>0</v>
      </c>
      <c r="AN84" s="321"/>
      <c r="AO84" s="88">
        <f t="shared" si="123"/>
        <v>416.95532988651075</v>
      </c>
      <c r="AP84" s="321"/>
      <c r="AQ84" s="88">
        <f t="shared" si="124"/>
        <v>21907.491382758133</v>
      </c>
      <c r="AR84" s="320"/>
      <c r="AS84" s="322">
        <f t="shared" si="125"/>
        <v>22411.230513153143</v>
      </c>
      <c r="AT84" s="318">
        <f>(1+'Table 7-10-OptionBudget'!$D$14)^(-AH84)</f>
        <v>0.82270247479188197</v>
      </c>
      <c r="AU84" s="174">
        <f t="shared" si="126"/>
        <v>379368.3717970713</v>
      </c>
      <c r="AV84" s="85">
        <f t="shared" si="127"/>
        <v>-339039.24939746631</v>
      </c>
      <c r="AW84" s="175">
        <f t="shared" si="128"/>
        <v>1550796.2827607011</v>
      </c>
      <c r="AX84" s="75">
        <v>4</v>
      </c>
      <c r="AY84" s="319"/>
      <c r="AZ84" s="320"/>
      <c r="BA84" s="88">
        <f t="shared" si="129"/>
        <v>0</v>
      </c>
      <c r="BB84" s="88">
        <f t="shared" si="129"/>
        <v>0</v>
      </c>
      <c r="BC84" s="88">
        <f t="shared" si="129"/>
        <v>0</v>
      </c>
      <c r="BD84" s="321"/>
      <c r="BE84" s="88">
        <f t="shared" si="130"/>
        <v>330.42236170693559</v>
      </c>
      <c r="BF84" s="321"/>
      <c r="BG84" s="88">
        <f t="shared" si="131"/>
        <v>17360.912603600882</v>
      </c>
      <c r="BH84" s="320"/>
      <c r="BI84" s="322">
        <f t="shared" si="132"/>
        <v>17691.334965307818</v>
      </c>
      <c r="BJ84" s="318">
        <f>(1+'Table 7-10-OptionBudget'!$D$14)^(-AX84)</f>
        <v>0.82270247479188197</v>
      </c>
      <c r="BK84" s="174">
        <f t="shared" si="133"/>
        <v>369573.21988309815</v>
      </c>
      <c r="BL84" s="300">
        <f t="shared" si="147"/>
        <v>-357032.45007786137</v>
      </c>
      <c r="BM84" s="270">
        <f t="shared" si="148"/>
        <v>1616658.2496753819</v>
      </c>
      <c r="CE84" s="137">
        <v>4</v>
      </c>
      <c r="CF84" s="319"/>
      <c r="CG84" s="320"/>
      <c r="CH84" s="88">
        <f t="shared" si="134"/>
        <v>0</v>
      </c>
      <c r="CI84" s="88">
        <f t="shared" si="134"/>
        <v>125.84400048098178</v>
      </c>
      <c r="CJ84" s="88">
        <f t="shared" si="134"/>
        <v>0</v>
      </c>
      <c r="CK84" s="321"/>
      <c r="CL84" s="88">
        <f t="shared" si="135"/>
        <v>416.76268299189314</v>
      </c>
      <c r="CM84" s="321"/>
      <c r="CN84" s="88">
        <f t="shared" si="136"/>
        <v>21897.369410735671</v>
      </c>
      <c r="CO84" s="320"/>
      <c r="CP84" s="322">
        <f t="shared" si="137"/>
        <v>22428.454308316112</v>
      </c>
      <c r="CQ84" s="318">
        <f>(1+'Table 7-10-OptionBudget'!$D$14)^(-CE84)</f>
        <v>0.82270247479188197</v>
      </c>
      <c r="CR84" s="174">
        <f t="shared" si="138"/>
        <v>422706.08614169515</v>
      </c>
      <c r="CS84" s="85">
        <f t="shared" si="139"/>
        <v>-301674.11910946632</v>
      </c>
      <c r="CT84" s="175">
        <f t="shared" si="140"/>
        <v>1568397.0003438427</v>
      </c>
      <c r="CU84" s="75">
        <v>4</v>
      </c>
      <c r="CV84" s="319"/>
      <c r="CW84" s="320"/>
      <c r="CX84" s="88">
        <f t="shared" si="141"/>
        <v>0</v>
      </c>
      <c r="CY84" s="88">
        <f t="shared" si="141"/>
        <v>2.5189516421551161</v>
      </c>
      <c r="CZ84" s="88">
        <f t="shared" si="141"/>
        <v>0</v>
      </c>
      <c r="DA84" s="321"/>
      <c r="DB84" s="88">
        <f t="shared" si="142"/>
        <v>326.35086229344006</v>
      </c>
      <c r="DC84" s="321"/>
      <c r="DD84" s="88">
        <f t="shared" si="143"/>
        <v>17146.989595732535</v>
      </c>
      <c r="DE84" s="320"/>
      <c r="DF84" s="88">
        <f t="shared" si="144"/>
        <v>17475.628784279685</v>
      </c>
      <c r="DG84" s="318">
        <f>(1+'Table 7-10-OptionBudget'!$D$14)^(-CU84)</f>
        <v>0.82270247479188197</v>
      </c>
      <c r="DH84" s="174">
        <f t="shared" si="145"/>
        <v>410277.39342966408</v>
      </c>
      <c r="DI84" s="300">
        <f t="shared" si="149"/>
        <v>-317684.30959586194</v>
      </c>
      <c r="DJ84" s="175">
        <f t="shared" si="150"/>
        <v>1638275.2906854923</v>
      </c>
      <c r="DK84" s="75">
        <v>4</v>
      </c>
      <c r="DL84" s="319"/>
      <c r="DM84" s="320"/>
      <c r="DN84" s="88">
        <f t="shared" si="151"/>
        <v>0</v>
      </c>
      <c r="DO84" s="88">
        <f t="shared" si="151"/>
        <v>0</v>
      </c>
      <c r="DP84" s="88">
        <f t="shared" si="151"/>
        <v>0</v>
      </c>
      <c r="DQ84" s="321"/>
      <c r="DR84" s="88">
        <f t="shared" si="152"/>
        <v>224.32083764494655</v>
      </c>
      <c r="DS84" s="321"/>
      <c r="DT84" s="88">
        <f t="shared" si="153"/>
        <v>11786.171000661765</v>
      </c>
      <c r="DU84" s="320"/>
      <c r="DV84" s="88">
        <f t="shared" si="154"/>
        <v>12010.491838306712</v>
      </c>
      <c r="DW84" s="318">
        <f>(1+'Table 7-10-OptionBudget'!$D$14)^(-DK84)</f>
        <v>0.82270247479188197</v>
      </c>
      <c r="DX84" s="174">
        <f t="shared" si="146"/>
        <v>390426.39206611464</v>
      </c>
      <c r="DY84" s="300">
        <f t="shared" si="155"/>
        <v>-328719.01657391869</v>
      </c>
      <c r="DZ84" s="175">
        <f t="shared" si="156"/>
        <v>1675888.0700661347</v>
      </c>
      <c r="EB84" s="85"/>
      <c r="EC84" s="88"/>
      <c r="ED84" s="88"/>
      <c r="EE84" s="88"/>
      <c r="EF84" s="88"/>
      <c r="EG84" s="88"/>
      <c r="EH84" s="88"/>
      <c r="EI84" s="88"/>
      <c r="EJ84" s="88"/>
      <c r="EK84" s="88"/>
      <c r="EL84" s="88"/>
      <c r="EM84" s="88"/>
      <c r="EN84" s="88"/>
      <c r="EO84" s="85"/>
      <c r="EP84" s="85"/>
      <c r="EQ84" s="85"/>
    </row>
    <row r="85" spans="1:147" x14ac:dyDescent="0.25">
      <c r="A85" s="137">
        <v>5</v>
      </c>
      <c r="B85" s="319"/>
      <c r="C85" s="320"/>
      <c r="D85" s="88">
        <f t="shared" si="114"/>
        <v>0</v>
      </c>
      <c r="E85" s="88">
        <f t="shared" si="114"/>
        <v>0</v>
      </c>
      <c r="F85" s="88">
        <f t="shared" si="115"/>
        <v>0</v>
      </c>
      <c r="G85" s="320"/>
      <c r="H85" s="88">
        <f t="shared" si="116"/>
        <v>515.31027590014719</v>
      </c>
      <c r="I85" s="320"/>
      <c r="J85" s="88">
        <f t="shared" si="117"/>
        <v>21208.68346247013</v>
      </c>
      <c r="K85" s="320"/>
      <c r="L85" s="88">
        <f t="shared" si="118"/>
        <v>21723.993738370278</v>
      </c>
      <c r="M85" s="318">
        <f>(1+'Table 7-10-OptionBudget'!$D$14)^(-A85)</f>
        <v>0.78352616646845896</v>
      </c>
      <c r="N85" s="174">
        <f t="shared" si="119"/>
        <v>296898.49390818668</v>
      </c>
      <c r="O85" s="85">
        <f t="shared" si="120"/>
        <v>-389613.11132381659</v>
      </c>
      <c r="P85" s="175">
        <f t="shared" si="121"/>
        <v>1051296.6267516811</v>
      </c>
      <c r="AH85" s="137">
        <v>5</v>
      </c>
      <c r="AI85" s="319"/>
      <c r="AJ85" s="320"/>
      <c r="AK85" s="88">
        <f t="shared" si="122"/>
        <v>0</v>
      </c>
      <c r="AL85" s="88">
        <f t="shared" si="122"/>
        <v>86.783800508500462</v>
      </c>
      <c r="AM85" s="88">
        <f t="shared" si="122"/>
        <v>0</v>
      </c>
      <c r="AN85" s="321"/>
      <c r="AO85" s="88">
        <f t="shared" si="123"/>
        <v>532.32162044111737</v>
      </c>
      <c r="AP85" s="321"/>
      <c r="AQ85" s="88">
        <f t="shared" si="124"/>
        <v>21908.821298864408</v>
      </c>
      <c r="AR85" s="320"/>
      <c r="AS85" s="322">
        <f t="shared" si="125"/>
        <v>22520.829124046199</v>
      </c>
      <c r="AT85" s="318">
        <f>(1+'Table 7-10-OptionBudget'!$D$14)^(-AH85)</f>
        <v>0.78352616646845896</v>
      </c>
      <c r="AU85" s="174">
        <f t="shared" si="126"/>
        <v>375912.03699542646</v>
      </c>
      <c r="AV85" s="85">
        <f t="shared" si="127"/>
        <v>-289194.62149775785</v>
      </c>
      <c r="AW85" s="175">
        <f t="shared" si="128"/>
        <v>1335622.513881465</v>
      </c>
      <c r="AX85" s="75">
        <v>5</v>
      </c>
      <c r="AY85" s="319"/>
      <c r="AZ85" s="320"/>
      <c r="BA85" s="88">
        <f t="shared" si="129"/>
        <v>0</v>
      </c>
      <c r="BB85" s="88">
        <f t="shared" si="129"/>
        <v>0</v>
      </c>
      <c r="BC85" s="88">
        <f t="shared" si="129"/>
        <v>0</v>
      </c>
      <c r="BD85" s="321"/>
      <c r="BE85" s="88">
        <f t="shared" si="130"/>
        <v>452.13519577496572</v>
      </c>
      <c r="BF85" s="321"/>
      <c r="BG85" s="88">
        <f t="shared" si="131"/>
        <v>18608.579525573703</v>
      </c>
      <c r="BH85" s="320"/>
      <c r="BI85" s="322">
        <f t="shared" si="132"/>
        <v>19060.714721348668</v>
      </c>
      <c r="BJ85" s="318">
        <f>(1+'Table 7-10-OptionBudget'!$D$14)^(-AX85)</f>
        <v>0.78352616646845896</v>
      </c>
      <c r="BK85" s="174">
        <f t="shared" si="133"/>
        <v>370360.54591194517</v>
      </c>
      <c r="BL85" s="300">
        <f t="shared" si="147"/>
        <v>-304542.51077473001</v>
      </c>
      <c r="BM85" s="270">
        <f t="shared" si="148"/>
        <v>1392891.7033915513</v>
      </c>
      <c r="CE85" s="137">
        <v>5</v>
      </c>
      <c r="CF85" s="319"/>
      <c r="CG85" s="320"/>
      <c r="CH85" s="88">
        <f t="shared" si="134"/>
        <v>0</v>
      </c>
      <c r="CI85" s="88">
        <f t="shared" si="134"/>
        <v>114.3222145885461</v>
      </c>
      <c r="CJ85" s="88">
        <f t="shared" si="134"/>
        <v>0</v>
      </c>
      <c r="CK85" s="321"/>
      <c r="CL85" s="88">
        <f t="shared" si="135"/>
        <v>534.65509560271494</v>
      </c>
      <c r="CM85" s="321"/>
      <c r="CN85" s="88">
        <f t="shared" si="136"/>
        <v>22004.860400711157</v>
      </c>
      <c r="CO85" s="320"/>
      <c r="CP85" s="322">
        <f t="shared" si="137"/>
        <v>22644.487891446737</v>
      </c>
      <c r="CQ85" s="318">
        <f>(1+'Table 7-10-OptionBudget'!$D$14)^(-CE85)</f>
        <v>0.78352616646845896</v>
      </c>
      <c r="CR85" s="174">
        <f t="shared" si="138"/>
        <v>421395.12215454725</v>
      </c>
      <c r="CS85" s="85">
        <f t="shared" si="139"/>
        <v>-253729.10133076186</v>
      </c>
      <c r="CT85" s="175">
        <f t="shared" si="140"/>
        <v>1385628.9765346411</v>
      </c>
      <c r="CU85" s="75">
        <v>5</v>
      </c>
      <c r="CV85" s="319"/>
      <c r="CW85" s="320"/>
      <c r="CX85" s="88">
        <f t="shared" si="141"/>
        <v>0</v>
      </c>
      <c r="CY85" s="88">
        <f t="shared" si="141"/>
        <v>2.2883262537097835</v>
      </c>
      <c r="CZ85" s="88">
        <f t="shared" si="141"/>
        <v>0</v>
      </c>
      <c r="DA85" s="321"/>
      <c r="DB85" s="88">
        <f t="shared" si="142"/>
        <v>448.09323576572615</v>
      </c>
      <c r="DC85" s="321"/>
      <c r="DD85" s="88">
        <f t="shared" si="143"/>
        <v>18442.224119106831</v>
      </c>
      <c r="DE85" s="320"/>
      <c r="DF85" s="88">
        <f t="shared" si="144"/>
        <v>18892.418530821273</v>
      </c>
      <c r="DG85" s="318">
        <f>(1+'Table 7-10-OptionBudget'!$D$14)^(-CU85)</f>
        <v>0.78352616646845896</v>
      </c>
      <c r="DH85" s="174">
        <f t="shared" si="145"/>
        <v>413315.27774389699</v>
      </c>
      <c r="DI85" s="300">
        <f t="shared" si="149"/>
        <v>-267194.79489519208</v>
      </c>
      <c r="DJ85" s="175">
        <f t="shared" si="150"/>
        <v>1447525.1837295461</v>
      </c>
      <c r="DK85" s="75">
        <v>5</v>
      </c>
      <c r="DL85" s="319"/>
      <c r="DM85" s="320"/>
      <c r="DN85" s="88">
        <f t="shared" si="151"/>
        <v>0</v>
      </c>
      <c r="DO85" s="88">
        <f t="shared" si="151"/>
        <v>0</v>
      </c>
      <c r="DP85" s="88">
        <f t="shared" si="151"/>
        <v>0</v>
      </c>
      <c r="DQ85" s="321"/>
      <c r="DR85" s="88">
        <f t="shared" si="152"/>
        <v>347.86730902293948</v>
      </c>
      <c r="DS85" s="321"/>
      <c r="DT85" s="88">
        <f t="shared" si="153"/>
        <v>14317.214286327217</v>
      </c>
      <c r="DU85" s="320"/>
      <c r="DV85" s="88">
        <f t="shared" si="154"/>
        <v>14665.081595350155</v>
      </c>
      <c r="DW85" s="318">
        <f>(1+'Table 7-10-OptionBudget'!$D$14)^(-DK85)</f>
        <v>0.78352616646845896</v>
      </c>
      <c r="DX85" s="174">
        <f t="shared" si="146"/>
        <v>397937.21983111365</v>
      </c>
      <c r="DY85" s="300">
        <f t="shared" si="155"/>
        <v>-276475.75772109057</v>
      </c>
      <c r="DZ85" s="175">
        <f t="shared" si="156"/>
        <v>1480981.3995809201</v>
      </c>
      <c r="EB85" s="85"/>
      <c r="EC85" s="88"/>
      <c r="ED85" s="88"/>
      <c r="EE85" s="88"/>
      <c r="EF85" s="88"/>
      <c r="EG85" s="88"/>
      <c r="EH85" s="88"/>
      <c r="EI85" s="88"/>
      <c r="EJ85" s="88"/>
      <c r="EK85" s="88"/>
      <c r="EL85" s="88"/>
      <c r="EM85" s="88"/>
      <c r="EN85" s="88"/>
      <c r="EO85" s="85"/>
      <c r="EP85" s="85"/>
      <c r="EQ85" s="85"/>
    </row>
    <row r="86" spans="1:147" x14ac:dyDescent="0.25">
      <c r="A86" s="137">
        <v>6</v>
      </c>
      <c r="B86" s="319"/>
      <c r="C86" s="320"/>
      <c r="D86" s="88">
        <f t="shared" si="114"/>
        <v>0</v>
      </c>
      <c r="E86" s="88">
        <f t="shared" si="114"/>
        <v>0</v>
      </c>
      <c r="F86" s="88">
        <f t="shared" si="115"/>
        <v>0</v>
      </c>
      <c r="G86" s="320"/>
      <c r="H86" s="88">
        <f t="shared" si="116"/>
        <v>626.31336846093541</v>
      </c>
      <c r="I86" s="320"/>
      <c r="J86" s="88">
        <f t="shared" si="117"/>
        <v>19704.777790453438</v>
      </c>
      <c r="K86" s="320"/>
      <c r="L86" s="88">
        <f t="shared" si="118"/>
        <v>20331.091158914372</v>
      </c>
      <c r="M86" s="318">
        <f>(1+'Table 7-10-OptionBudget'!$D$14)^(-A86)</f>
        <v>0.74621539663662761</v>
      </c>
      <c r="N86" s="174">
        <f t="shared" si="119"/>
        <v>290019.4248652258</v>
      </c>
      <c r="O86" s="85">
        <f t="shared" si="120"/>
        <v>-329545.21465646301</v>
      </c>
      <c r="P86" s="175">
        <f t="shared" si="121"/>
        <v>779168.42401271639</v>
      </c>
      <c r="AH86" s="137">
        <v>6</v>
      </c>
      <c r="AI86" s="319"/>
      <c r="AJ86" s="320"/>
      <c r="AK86" s="88">
        <f t="shared" si="122"/>
        <v>0</v>
      </c>
      <c r="AL86" s="88">
        <f t="shared" si="122"/>
        <v>79.686204740674839</v>
      </c>
      <c r="AM86" s="88">
        <f t="shared" si="122"/>
        <v>0</v>
      </c>
      <c r="AN86" s="321"/>
      <c r="AO86" s="88">
        <f t="shared" si="123"/>
        <v>664.07311009130763</v>
      </c>
      <c r="AP86" s="321"/>
      <c r="AQ86" s="88">
        <f t="shared" si="124"/>
        <v>20892.757092379892</v>
      </c>
      <c r="AR86" s="320"/>
      <c r="AS86" s="322">
        <f t="shared" si="125"/>
        <v>21630.773852741717</v>
      </c>
      <c r="AT86" s="318">
        <f>(1+'Table 7-10-OptionBudget'!$D$14)^(-AH86)</f>
        <v>0.74621539663662761</v>
      </c>
      <c r="AU86" s="174">
        <f t="shared" si="126"/>
        <v>372175.37293535838</v>
      </c>
      <c r="AV86" s="85">
        <f t="shared" si="127"/>
        <v>-240964.119377136</v>
      </c>
      <c r="AW86" s="175">
        <f t="shared" si="128"/>
        <v>1154857.5424128615</v>
      </c>
      <c r="AX86" s="75">
        <v>6</v>
      </c>
      <c r="AY86" s="319"/>
      <c r="AZ86" s="320"/>
      <c r="BA86" s="88">
        <f t="shared" si="129"/>
        <v>0</v>
      </c>
      <c r="BB86" s="88">
        <f t="shared" si="129"/>
        <v>0</v>
      </c>
      <c r="BC86" s="88">
        <f t="shared" si="129"/>
        <v>0</v>
      </c>
      <c r="BD86" s="321"/>
      <c r="BE86" s="88">
        <f t="shared" si="130"/>
        <v>589.42453557198041</v>
      </c>
      <c r="BF86" s="321"/>
      <c r="BG86" s="88">
        <f t="shared" si="131"/>
        <v>18544.198611356202</v>
      </c>
      <c r="BH86" s="320"/>
      <c r="BI86" s="322">
        <f t="shared" si="132"/>
        <v>19133.623146928181</v>
      </c>
      <c r="BJ86" s="318">
        <f>(1+'Table 7-10-OptionBudget'!$D$14)^(-AX86)</f>
        <v>0.74621539663662761</v>
      </c>
      <c r="BK86" s="174">
        <f t="shared" si="133"/>
        <v>369817.85848619381</v>
      </c>
      <c r="BL86" s="300">
        <f t="shared" si="147"/>
        <v>-253752.36075164599</v>
      </c>
      <c r="BM86" s="270">
        <f t="shared" si="148"/>
        <v>1204958.7111181451</v>
      </c>
      <c r="CE86" s="137">
        <v>6</v>
      </c>
      <c r="CF86" s="319"/>
      <c r="CG86" s="320"/>
      <c r="CH86" s="88">
        <f t="shared" si="134"/>
        <v>0</v>
      </c>
      <c r="CI86" s="88">
        <f t="shared" si="134"/>
        <v>104.97239513286513</v>
      </c>
      <c r="CJ86" s="88">
        <f t="shared" si="134"/>
        <v>0</v>
      </c>
      <c r="CK86" s="321"/>
      <c r="CL86" s="88">
        <f t="shared" si="135"/>
        <v>671.61131818439617</v>
      </c>
      <c r="CM86" s="321"/>
      <c r="CN86" s="88">
        <f t="shared" si="136"/>
        <v>21129.920663991827</v>
      </c>
      <c r="CO86" s="320"/>
      <c r="CP86" s="322">
        <f t="shared" si="137"/>
        <v>21898.939583642794</v>
      </c>
      <c r="CQ86" s="318">
        <f>(1+'Table 7-10-OptionBudget'!$D$14)^(-CE86)</f>
        <v>0.74621539663662761</v>
      </c>
      <c r="CR86" s="174">
        <f t="shared" si="138"/>
        <v>419805.32444064284</v>
      </c>
      <c r="CS86" s="85">
        <f t="shared" si="139"/>
        <v>-209854.5858455784</v>
      </c>
      <c r="CT86" s="175">
        <f t="shared" si="140"/>
        <v>1234848.7278945455</v>
      </c>
      <c r="CU86" s="75">
        <v>6</v>
      </c>
      <c r="CV86" s="319"/>
      <c r="CW86" s="320"/>
      <c r="CX86" s="88">
        <f t="shared" si="141"/>
        <v>0</v>
      </c>
      <c r="CY86" s="88">
        <f t="shared" si="141"/>
        <v>2.1011759487159907</v>
      </c>
      <c r="CZ86" s="88">
        <f t="shared" si="141"/>
        <v>0</v>
      </c>
      <c r="DA86" s="321"/>
      <c r="DB86" s="88">
        <f t="shared" si="142"/>
        <v>587.73900158615697</v>
      </c>
      <c r="DC86" s="321"/>
      <c r="DD86" s="88">
        <f t="shared" si="143"/>
        <v>18491.169130713708</v>
      </c>
      <c r="DE86" s="320"/>
      <c r="DF86" s="88">
        <f t="shared" si="144"/>
        <v>19080.857887844304</v>
      </c>
      <c r="DG86" s="318">
        <f>(1+'Table 7-10-OptionBudget'!$D$14)^(-CU86)</f>
        <v>0.74621539663662761</v>
      </c>
      <c r="DH86" s="174">
        <f t="shared" si="145"/>
        <v>415088.32153365295</v>
      </c>
      <c r="DI86" s="300">
        <f t="shared" si="149"/>
        <v>-220991.80869966175</v>
      </c>
      <c r="DJ86" s="175">
        <f t="shared" si="150"/>
        <v>1290257.5782258019</v>
      </c>
      <c r="DK86" s="75">
        <v>6</v>
      </c>
      <c r="DL86" s="319"/>
      <c r="DM86" s="320"/>
      <c r="DN86" s="88">
        <f t="shared" si="151"/>
        <v>0</v>
      </c>
      <c r="DO86" s="88">
        <f t="shared" si="151"/>
        <v>0</v>
      </c>
      <c r="DP86" s="88">
        <f t="shared" si="151"/>
        <v>0</v>
      </c>
      <c r="DQ86" s="321"/>
      <c r="DR86" s="88">
        <f t="shared" si="152"/>
        <v>487.75075329056563</v>
      </c>
      <c r="DS86" s="321"/>
      <c r="DT86" s="88">
        <f t="shared" si="153"/>
        <v>15345.385704179382</v>
      </c>
      <c r="DU86" s="320"/>
      <c r="DV86" s="88">
        <f t="shared" si="154"/>
        <v>15833.136457469947</v>
      </c>
      <c r="DW86" s="318">
        <f>(1+'Table 7-10-OptionBudget'!$D$14)^(-DK86)</f>
        <v>0.74621539663662761</v>
      </c>
      <c r="DX86" s="174">
        <f t="shared" si="146"/>
        <v>403168.9992273192</v>
      </c>
      <c r="DY86" s="300">
        <f t="shared" si="155"/>
        <v>-228667.91916496528</v>
      </c>
      <c r="DZ86" s="175">
        <f t="shared" si="156"/>
        <v>1320428.8454411025</v>
      </c>
      <c r="EB86" s="85"/>
      <c r="EC86" s="88"/>
      <c r="ED86" s="88"/>
      <c r="EE86" s="88"/>
      <c r="EF86" s="88"/>
      <c r="EG86" s="88"/>
      <c r="EH86" s="88"/>
      <c r="EI86" s="88"/>
      <c r="EJ86" s="88"/>
      <c r="EK86" s="88"/>
      <c r="EL86" s="88"/>
      <c r="EM86" s="88"/>
      <c r="EN86" s="88"/>
      <c r="EO86" s="85"/>
      <c r="EP86" s="85"/>
      <c r="EQ86" s="85"/>
    </row>
    <row r="87" spans="1:147" x14ac:dyDescent="0.25">
      <c r="A87" s="137">
        <v>7</v>
      </c>
      <c r="B87" s="319"/>
      <c r="C87" s="320"/>
      <c r="D87" s="88">
        <f t="shared" si="114"/>
        <v>0</v>
      </c>
      <c r="E87" s="88">
        <f t="shared" si="114"/>
        <v>0</v>
      </c>
      <c r="F87" s="88">
        <f t="shared" si="115"/>
        <v>0</v>
      </c>
      <c r="G87" s="320"/>
      <c r="H87" s="88">
        <f t="shared" si="116"/>
        <v>740.02091447457633</v>
      </c>
      <c r="I87" s="320"/>
      <c r="J87" s="88">
        <f t="shared" si="117"/>
        <v>17505.501855200528</v>
      </c>
      <c r="K87" s="320"/>
      <c r="L87" s="88">
        <f t="shared" si="118"/>
        <v>18245.522769675103</v>
      </c>
      <c r="M87" s="318">
        <f>(1+'Table 7-10-OptionBudget'!$D$14)^(-A87)</f>
        <v>0.71068133013012147</v>
      </c>
      <c r="N87" s="174">
        <f t="shared" si="119"/>
        <v>284189.30494957272</v>
      </c>
      <c r="O87" s="85">
        <f t="shared" si="120"/>
        <v>-281013.451044421</v>
      </c>
      <c r="P87" s="175">
        <f t="shared" si="121"/>
        <v>539166.83384991158</v>
      </c>
      <c r="AH87" s="137">
        <v>7</v>
      </c>
      <c r="AI87" s="319"/>
      <c r="AJ87" s="320"/>
      <c r="AK87" s="88">
        <f t="shared" si="122"/>
        <v>0</v>
      </c>
      <c r="AL87" s="88">
        <f t="shared" si="122"/>
        <v>73.943650270518447</v>
      </c>
      <c r="AM87" s="88">
        <f t="shared" si="122"/>
        <v>0</v>
      </c>
      <c r="AN87" s="321"/>
      <c r="AO87" s="88">
        <f t="shared" si="123"/>
        <v>809.50345724526687</v>
      </c>
      <c r="AP87" s="321"/>
      <c r="AQ87" s="88">
        <f t="shared" si="124"/>
        <v>19149.140241069661</v>
      </c>
      <c r="AR87" s="320"/>
      <c r="AS87" s="322">
        <f t="shared" si="125"/>
        <v>20027.974876780143</v>
      </c>
      <c r="AT87" s="318">
        <f>(1+'Table 7-10-OptionBudget'!$D$14)^(-AH87)</f>
        <v>0.71068133013012147</v>
      </c>
      <c r="AU87" s="174">
        <f t="shared" si="126"/>
        <v>369143.64086467738</v>
      </c>
      <c r="AV87" s="85">
        <f t="shared" si="127"/>
        <v>-201721.68262963794</v>
      </c>
      <c r="AW87" s="175">
        <f t="shared" si="128"/>
        <v>1002303.3055305866</v>
      </c>
      <c r="AX87" s="75">
        <v>7</v>
      </c>
      <c r="AY87" s="319"/>
      <c r="AZ87" s="320"/>
      <c r="BA87" s="88">
        <f t="shared" si="129"/>
        <v>0</v>
      </c>
      <c r="BB87" s="88">
        <f t="shared" si="129"/>
        <v>0</v>
      </c>
      <c r="BC87" s="88">
        <f t="shared" si="129"/>
        <v>0</v>
      </c>
      <c r="BD87" s="321"/>
      <c r="BE87" s="88">
        <f t="shared" si="130"/>
        <v>740.76284042021643</v>
      </c>
      <c r="BF87" s="321"/>
      <c r="BG87" s="88">
        <f t="shared" si="131"/>
        <v>17523.052421358574</v>
      </c>
      <c r="BH87" s="320"/>
      <c r="BI87" s="322">
        <f t="shared" si="132"/>
        <v>18263.815261778789</v>
      </c>
      <c r="BJ87" s="318">
        <f>(1+'Table 7-10-OptionBudget'!$D$14)^(-AX87)</f>
        <v>0.71068133013012147</v>
      </c>
      <c r="BK87" s="174">
        <f t="shared" si="133"/>
        <v>369175.12826357526</v>
      </c>
      <c r="BL87" s="300">
        <f t="shared" si="147"/>
        <v>-212427.28300951296</v>
      </c>
      <c r="BM87" s="270">
        <f t="shared" si="148"/>
        <v>1046400.2902776487</v>
      </c>
      <c r="CE87" s="137">
        <v>7</v>
      </c>
      <c r="CF87" s="319"/>
      <c r="CG87" s="320"/>
      <c r="CH87" s="88">
        <f t="shared" si="134"/>
        <v>0</v>
      </c>
      <c r="CI87" s="88">
        <f t="shared" si="134"/>
        <v>97.407601466572942</v>
      </c>
      <c r="CJ87" s="88">
        <f t="shared" si="134"/>
        <v>0</v>
      </c>
      <c r="CK87" s="321"/>
      <c r="CL87" s="88">
        <f t="shared" si="135"/>
        <v>825.60541579323171</v>
      </c>
      <c r="CM87" s="321"/>
      <c r="CN87" s="88">
        <f t="shared" si="136"/>
        <v>19530.038753152767</v>
      </c>
      <c r="CO87" s="320"/>
      <c r="CP87" s="322">
        <f t="shared" si="137"/>
        <v>20446.975659566768</v>
      </c>
      <c r="CQ87" s="318">
        <f>(1+'Table 7-10-OptionBudget'!$D$14)^(-CE87)</f>
        <v>0.71068133013012147</v>
      </c>
      <c r="CR87" s="174">
        <f t="shared" si="138"/>
        <v>418883.8376656092</v>
      </c>
      <c r="CS87" s="85">
        <f t="shared" si="139"/>
        <v>-174047.7631680987</v>
      </c>
      <c r="CT87" s="175">
        <f t="shared" si="140"/>
        <v>1110489.0012874126</v>
      </c>
      <c r="CU87" s="75">
        <v>7</v>
      </c>
      <c r="CV87" s="319"/>
      <c r="CW87" s="320"/>
      <c r="CX87" s="88">
        <f t="shared" si="141"/>
        <v>0</v>
      </c>
      <c r="CY87" s="88">
        <f t="shared" si="141"/>
        <v>1.9497555444404497</v>
      </c>
      <c r="CZ87" s="88">
        <f t="shared" si="141"/>
        <v>0</v>
      </c>
      <c r="DA87" s="321"/>
      <c r="DB87" s="88">
        <f t="shared" si="142"/>
        <v>744.45887044341271</v>
      </c>
      <c r="DC87" s="321"/>
      <c r="DD87" s="88">
        <f t="shared" si="143"/>
        <v>17610.48354548277</v>
      </c>
      <c r="DE87" s="320"/>
      <c r="DF87" s="88">
        <f t="shared" si="144"/>
        <v>18356.770549229321</v>
      </c>
      <c r="DG87" s="318">
        <f>(1+'Table 7-10-OptionBudget'!$D$14)^(-CU87)</f>
        <v>0.71068133013012147</v>
      </c>
      <c r="DH87" s="174">
        <f t="shared" si="145"/>
        <v>416761.62324328953</v>
      </c>
      <c r="DI87" s="300">
        <f t="shared" si="149"/>
        <v>-183284.67699510563</v>
      </c>
      <c r="DJ87" s="175">
        <f t="shared" si="150"/>
        <v>1160648.4682990266</v>
      </c>
      <c r="DK87" s="75">
        <v>7</v>
      </c>
      <c r="DL87" s="319"/>
      <c r="DM87" s="320"/>
      <c r="DN87" s="88">
        <f t="shared" si="151"/>
        <v>0</v>
      </c>
      <c r="DO87" s="88">
        <f t="shared" si="151"/>
        <v>0</v>
      </c>
      <c r="DP87" s="88">
        <f t="shared" si="151"/>
        <v>0</v>
      </c>
      <c r="DQ87" s="321"/>
      <c r="DR87" s="88">
        <f t="shared" si="152"/>
        <v>644.42692754656719</v>
      </c>
      <c r="DS87" s="321"/>
      <c r="DT87" s="88">
        <f t="shared" si="153"/>
        <v>15244.1864210247</v>
      </c>
      <c r="DU87" s="320"/>
      <c r="DV87" s="88">
        <f t="shared" si="154"/>
        <v>15888.613348571267</v>
      </c>
      <c r="DW87" s="318">
        <f>(1+'Table 7-10-OptionBudget'!$D$14)^(-DK87)</f>
        <v>0.71068133013012147</v>
      </c>
      <c r="DX87" s="174">
        <f t="shared" si="146"/>
        <v>407494.31273121521</v>
      </c>
      <c r="DY87" s="300">
        <f t="shared" si="155"/>
        <v>-189651.0370674103</v>
      </c>
      <c r="DZ87" s="175">
        <f t="shared" si="156"/>
        <v>1188260.1764491647</v>
      </c>
      <c r="EB87" s="85"/>
      <c r="EC87" s="88"/>
      <c r="ED87" s="88"/>
      <c r="EE87" s="88"/>
      <c r="EF87" s="88"/>
      <c r="EG87" s="88"/>
      <c r="EH87" s="88"/>
      <c r="EI87" s="88"/>
      <c r="EJ87" s="88"/>
      <c r="EK87" s="88"/>
      <c r="EL87" s="88"/>
      <c r="EM87" s="88"/>
      <c r="EN87" s="88"/>
      <c r="EO87" s="85"/>
      <c r="EP87" s="85"/>
      <c r="EQ87" s="85"/>
    </row>
    <row r="88" spans="1:147" x14ac:dyDescent="0.25">
      <c r="A88" s="137">
        <v>8</v>
      </c>
      <c r="B88" s="319"/>
      <c r="C88" s="320"/>
      <c r="D88" s="88">
        <f t="shared" si="114"/>
        <v>0</v>
      </c>
      <c r="E88" s="88">
        <f t="shared" si="114"/>
        <v>0</v>
      </c>
      <c r="F88" s="88">
        <f t="shared" si="115"/>
        <v>0</v>
      </c>
      <c r="G88" s="320"/>
      <c r="H88" s="88">
        <f t="shared" si="116"/>
        <v>844.17129475537718</v>
      </c>
      <c r="I88" s="320"/>
      <c r="J88" s="88">
        <f t="shared" si="117"/>
        <v>14872.478621752995</v>
      </c>
      <c r="K88" s="320"/>
      <c r="L88" s="88">
        <f t="shared" si="118"/>
        <v>15716.649916508371</v>
      </c>
      <c r="M88" s="318">
        <f>(1+'Table 7-10-OptionBudget'!$D$14)^(-A88)</f>
        <v>0.67683936202868722</v>
      </c>
      <c r="N88" s="174">
        <f t="shared" si="119"/>
        <v>280153.24742737622</v>
      </c>
      <c r="O88" s="85">
        <f t="shared" si="120"/>
        <v>-238132.58416077984</v>
      </c>
      <c r="P88" s="175">
        <f t="shared" si="121"/>
        <v>328355.20581263449</v>
      </c>
      <c r="AH88" s="137">
        <v>8</v>
      </c>
      <c r="AI88" s="319"/>
      <c r="AJ88" s="320"/>
      <c r="AK88" s="88">
        <f t="shared" si="122"/>
        <v>0</v>
      </c>
      <c r="AL88" s="88">
        <f t="shared" si="122"/>
        <v>69.33117846521418</v>
      </c>
      <c r="AM88" s="88">
        <f t="shared" si="122"/>
        <v>0</v>
      </c>
      <c r="AN88" s="321"/>
      <c r="AO88" s="88">
        <f t="shared" si="123"/>
        <v>957.54929487403479</v>
      </c>
      <c r="AP88" s="321"/>
      <c r="AQ88" s="88">
        <f t="shared" si="124"/>
        <v>16869.954600168574</v>
      </c>
      <c r="AR88" s="320"/>
      <c r="AS88" s="322">
        <f t="shared" si="125"/>
        <v>17893.182117711262</v>
      </c>
      <c r="AT88" s="318">
        <f>(1+'Table 7-10-OptionBudget'!$D$14)^(-AH88)</f>
        <v>0.67683936202868722</v>
      </c>
      <c r="AU88" s="174">
        <f t="shared" si="126"/>
        <v>367564.5383768123</v>
      </c>
      <c r="AV88" s="85">
        <f t="shared" si="127"/>
        <v>-167868.3673314972</v>
      </c>
      <c r="AW88" s="175">
        <f t="shared" si="128"/>
        <v>874716.19749541243</v>
      </c>
      <c r="AX88" s="75">
        <v>8</v>
      </c>
      <c r="AY88" s="319"/>
      <c r="AZ88" s="320"/>
      <c r="BA88" s="88">
        <f t="shared" si="129"/>
        <v>0</v>
      </c>
      <c r="BB88" s="88">
        <f t="shared" si="129"/>
        <v>0</v>
      </c>
      <c r="BC88" s="88">
        <f t="shared" si="129"/>
        <v>0</v>
      </c>
      <c r="BD88" s="321"/>
      <c r="BE88" s="88">
        <f t="shared" si="130"/>
        <v>895.93074445632919</v>
      </c>
      <c r="BF88" s="321"/>
      <c r="BG88" s="88">
        <f t="shared" si="131"/>
        <v>15784.368559178758</v>
      </c>
      <c r="BH88" s="320"/>
      <c r="BI88" s="322">
        <f t="shared" si="132"/>
        <v>16680.299303635089</v>
      </c>
      <c r="BJ88" s="318">
        <f>(1+'Table 7-10-OptionBudget'!$D$14)^(-AX88)</f>
        <v>0.67683936202868722</v>
      </c>
      <c r="BK88" s="174">
        <f t="shared" si="133"/>
        <v>369370.0694149753</v>
      </c>
      <c r="BL88" s="300">
        <f t="shared" si="147"/>
        <v>-176777.33355488832</v>
      </c>
      <c r="BM88" s="270">
        <f t="shared" si="148"/>
        <v>913859.97604528291</v>
      </c>
      <c r="CE88" s="137">
        <v>8</v>
      </c>
      <c r="CF88" s="319"/>
      <c r="CG88" s="320"/>
      <c r="CH88" s="88">
        <f t="shared" si="134"/>
        <v>0</v>
      </c>
      <c r="CI88" s="88">
        <f t="shared" si="134"/>
        <v>91.331490620770637</v>
      </c>
      <c r="CJ88" s="88">
        <f t="shared" si="134"/>
        <v>0</v>
      </c>
      <c r="CK88" s="321"/>
      <c r="CL88" s="88">
        <f t="shared" si="135"/>
        <v>986.03561697576333</v>
      </c>
      <c r="CM88" s="321"/>
      <c r="CN88" s="88">
        <f t="shared" si="136"/>
        <v>17371.822193988017</v>
      </c>
      <c r="CO88" s="320"/>
      <c r="CP88" s="322">
        <f t="shared" si="137"/>
        <v>18444.377182340977</v>
      </c>
      <c r="CQ88" s="318">
        <f>(1+'Table 7-10-OptionBudget'!$D$14)^(-CE88)</f>
        <v>0.67683936202868722</v>
      </c>
      <c r="CR88" s="174">
        <f t="shared" si="138"/>
        <v>419370.10739840375</v>
      </c>
      <c r="CS88" s="85">
        <f t="shared" si="139"/>
        <v>-143480.14763682277</v>
      </c>
      <c r="CT88" s="175">
        <f t="shared" si="140"/>
        <v>1009257.3759037586</v>
      </c>
      <c r="CU88" s="75">
        <v>8</v>
      </c>
      <c r="CV88" s="319"/>
      <c r="CW88" s="320"/>
      <c r="CX88" s="88">
        <f t="shared" si="141"/>
        <v>0</v>
      </c>
      <c r="CY88" s="88">
        <f t="shared" si="141"/>
        <v>1.8281333031386566</v>
      </c>
      <c r="CZ88" s="88">
        <f t="shared" si="141"/>
        <v>0</v>
      </c>
      <c r="DA88" s="321"/>
      <c r="DB88" s="88">
        <f t="shared" si="142"/>
        <v>908.74500146879609</v>
      </c>
      <c r="DC88" s="321"/>
      <c r="DD88" s="88">
        <f t="shared" si="143"/>
        <v>16010.12814690177</v>
      </c>
      <c r="DE88" s="320"/>
      <c r="DF88" s="88">
        <f t="shared" si="144"/>
        <v>16920.604960072164</v>
      </c>
      <c r="DG88" s="318">
        <f>(1+'Table 7-10-OptionBudget'!$D$14)^(-CU88)</f>
        <v>0.67683936202868722</v>
      </c>
      <c r="DH88" s="174">
        <f t="shared" si="145"/>
        <v>419242.71474620618</v>
      </c>
      <c r="DI88" s="300">
        <f t="shared" si="149"/>
        <v>-151094.80315139866</v>
      </c>
      <c r="DJ88" s="175">
        <f t="shared" si="150"/>
        <v>1055264.1062965151</v>
      </c>
      <c r="DK88" s="75">
        <v>8</v>
      </c>
      <c r="DL88" s="319"/>
      <c r="DM88" s="320"/>
      <c r="DN88" s="88">
        <f t="shared" si="151"/>
        <v>0</v>
      </c>
      <c r="DO88" s="88">
        <f t="shared" si="151"/>
        <v>0</v>
      </c>
      <c r="DP88" s="88">
        <f t="shared" si="151"/>
        <v>0</v>
      </c>
      <c r="DQ88" s="321"/>
      <c r="DR88" s="88">
        <f t="shared" si="152"/>
        <v>809.72662154561476</v>
      </c>
      <c r="DS88" s="321"/>
      <c r="DT88" s="88">
        <f t="shared" si="153"/>
        <v>14265.637724498949</v>
      </c>
      <c r="DU88" s="320"/>
      <c r="DV88" s="88">
        <f t="shared" si="154"/>
        <v>15075.364346044564</v>
      </c>
      <c r="DW88" s="318">
        <f>(1+'Table 7-10-OptionBudget'!$D$14)^(-DK88)</f>
        <v>0.67683936202868722</v>
      </c>
      <c r="DX88" s="174">
        <f t="shared" si="146"/>
        <v>411980.41501920472</v>
      </c>
      <c r="DY88" s="300">
        <f t="shared" si="155"/>
        <v>-156343.05378361858</v>
      </c>
      <c r="DZ88" s="175">
        <f t="shared" si="156"/>
        <v>1080970.8170124663</v>
      </c>
      <c r="EB88" s="85"/>
      <c r="EC88" s="88"/>
      <c r="ED88" s="88"/>
      <c r="EE88" s="88"/>
      <c r="EF88" s="88"/>
      <c r="EG88" s="88"/>
      <c r="EH88" s="88"/>
      <c r="EI88" s="88"/>
      <c r="EJ88" s="88"/>
      <c r="EK88" s="88"/>
      <c r="EL88" s="88"/>
      <c r="EM88" s="88"/>
      <c r="EN88" s="88"/>
      <c r="EO88" s="85"/>
      <c r="EP88" s="85"/>
      <c r="EQ88" s="85"/>
    </row>
    <row r="89" spans="1:147" x14ac:dyDescent="0.25">
      <c r="A89" s="137">
        <v>9</v>
      </c>
      <c r="B89" s="319"/>
      <c r="C89" s="320"/>
      <c r="D89" s="88">
        <f t="shared" si="114"/>
        <v>0</v>
      </c>
      <c r="E89" s="88">
        <f t="shared" si="114"/>
        <v>0</v>
      </c>
      <c r="F89" s="88">
        <f t="shared" si="115"/>
        <v>0</v>
      </c>
      <c r="G89" s="320"/>
      <c r="H89" s="88">
        <f t="shared" si="116"/>
        <v>935.28014954330024</v>
      </c>
      <c r="I89" s="320"/>
      <c r="J89" s="88">
        <f t="shared" si="117"/>
        <v>11991.91547624721</v>
      </c>
      <c r="K89" s="320"/>
      <c r="L89" s="88">
        <f t="shared" si="118"/>
        <v>24057.303670762893</v>
      </c>
      <c r="M89" s="318">
        <f>(1+'Table 7-10-OptionBudget'!$D$14)^(-A89)</f>
        <v>0.64460891621779726</v>
      </c>
      <c r="N89" s="174">
        <f t="shared" si="119"/>
        <v>278444.25988223666</v>
      </c>
      <c r="O89" s="85">
        <f t="shared" si="120"/>
        <v>-199461.52353320777</v>
      </c>
      <c r="P89" s="175">
        <f t="shared" si="121"/>
        <v>144827.75951529751</v>
      </c>
      <c r="AH89" s="137">
        <v>9</v>
      </c>
      <c r="AI89" s="319"/>
      <c r="AJ89" s="320"/>
      <c r="AK89" s="88">
        <f t="shared" si="122"/>
        <v>0</v>
      </c>
      <c r="AL89" s="88">
        <f t="shared" si="122"/>
        <v>65.67822266865187</v>
      </c>
      <c r="AM89" s="88">
        <f t="shared" si="122"/>
        <v>0</v>
      </c>
      <c r="AN89" s="321"/>
      <c r="AO89" s="88">
        <f t="shared" si="123"/>
        <v>1105.6998909711683</v>
      </c>
      <c r="AP89" s="321"/>
      <c r="AQ89" s="88">
        <f t="shared" si="124"/>
        <v>14176.992467012831</v>
      </c>
      <c r="AR89" s="320"/>
      <c r="AS89" s="322">
        <f t="shared" si="125"/>
        <v>15345.547362844305</v>
      </c>
      <c r="AT89" s="318">
        <f>(1+'Table 7-10-OptionBudget'!$D$14)^(-AH89)</f>
        <v>0.64460891621779726</v>
      </c>
      <c r="AU89" s="174">
        <f t="shared" si="126"/>
        <v>368042.46366322174</v>
      </c>
      <c r="AV89" s="85">
        <f t="shared" si="127"/>
        <v>-138066.34897021588</v>
      </c>
      <c r="AW89" s="175">
        <f t="shared" si="128"/>
        <v>769798.46551144798</v>
      </c>
      <c r="AX89" s="75">
        <v>9</v>
      </c>
      <c r="AY89" s="319"/>
      <c r="AZ89" s="320"/>
      <c r="BA89" s="88">
        <f t="shared" si="129"/>
        <v>0</v>
      </c>
      <c r="BB89" s="88">
        <f t="shared" si="129"/>
        <v>0</v>
      </c>
      <c r="BC89" s="88">
        <f t="shared" si="129"/>
        <v>0</v>
      </c>
      <c r="BD89" s="321"/>
      <c r="BE89" s="88">
        <f t="shared" si="130"/>
        <v>1051.9387299540372</v>
      </c>
      <c r="BF89" s="321"/>
      <c r="BG89" s="88">
        <f t="shared" si="131"/>
        <v>13487.681035419679</v>
      </c>
      <c r="BH89" s="320"/>
      <c r="BI89" s="322">
        <f t="shared" si="132"/>
        <v>14539.619765373716</v>
      </c>
      <c r="BJ89" s="318">
        <f>(1+'Table 7-10-OptionBudget'!$D$14)^(-AX89)</f>
        <v>0.64460891621779726</v>
      </c>
      <c r="BK89" s="174">
        <f t="shared" si="133"/>
        <v>371158.27358208894</v>
      </c>
      <c r="BL89" s="300">
        <f t="shared" si="147"/>
        <v>-145393.68799850106</v>
      </c>
      <c r="BM89" s="270">
        <f t="shared" si="148"/>
        <v>804971.18168660079</v>
      </c>
      <c r="CE89" s="137">
        <v>9</v>
      </c>
      <c r="CF89" s="319"/>
      <c r="CG89" s="320"/>
      <c r="CH89" s="88">
        <f t="shared" si="134"/>
        <v>0</v>
      </c>
      <c r="CI89" s="88">
        <f t="shared" si="134"/>
        <v>86.51937137719824</v>
      </c>
      <c r="CJ89" s="88">
        <f t="shared" si="134"/>
        <v>0</v>
      </c>
      <c r="CK89" s="321"/>
      <c r="CL89" s="88">
        <f t="shared" si="135"/>
        <v>1150.7309804392285</v>
      </c>
      <c r="CM89" s="321"/>
      <c r="CN89" s="88">
        <f t="shared" si="136"/>
        <v>14754.369223023314</v>
      </c>
      <c r="CO89" s="320"/>
      <c r="CP89" s="322">
        <f t="shared" si="137"/>
        <v>15987.90048774947</v>
      </c>
      <c r="CQ89" s="318">
        <f>(1+'Table 7-10-OptionBudget'!$D$14)^(-CE89)</f>
        <v>0.64460891621779726</v>
      </c>
      <c r="CR89" s="174">
        <f t="shared" si="138"/>
        <v>421884.85689220828</v>
      </c>
      <c r="CS89" s="85">
        <f t="shared" si="139"/>
        <v>-116863.28372566024</v>
      </c>
      <c r="CT89" s="175">
        <f t="shared" si="140"/>
        <v>928768.93715240934</v>
      </c>
      <c r="CU89" s="75">
        <v>9</v>
      </c>
      <c r="CV89" s="319"/>
      <c r="CW89" s="320"/>
      <c r="CX89" s="88">
        <f t="shared" si="141"/>
        <v>0</v>
      </c>
      <c r="CY89" s="88">
        <f t="shared" si="141"/>
        <v>1.7318117015965981</v>
      </c>
      <c r="CZ89" s="88">
        <f t="shared" si="141"/>
        <v>0</v>
      </c>
      <c r="DA89" s="321"/>
      <c r="DB89" s="88">
        <f t="shared" si="142"/>
        <v>1078.1194824461936</v>
      </c>
      <c r="DC89" s="321"/>
      <c r="DD89" s="88">
        <f t="shared" si="143"/>
        <v>13823.363740910441</v>
      </c>
      <c r="DE89" s="320"/>
      <c r="DF89" s="88">
        <f t="shared" si="144"/>
        <v>14903.140592093152</v>
      </c>
      <c r="DG89" s="318">
        <f>(1+'Table 7-10-OptionBudget'!$D$14)^(-CU89)</f>
        <v>0.64460891621779726</v>
      </c>
      <c r="DH89" s="174">
        <f t="shared" si="145"/>
        <v>423284.0577951775</v>
      </c>
      <c r="DI89" s="300">
        <f t="shared" si="149"/>
        <v>-123065.3518342427</v>
      </c>
      <c r="DJ89" s="175">
        <f t="shared" si="150"/>
        <v>971622.59938112763</v>
      </c>
      <c r="DK89" s="75">
        <v>9</v>
      </c>
      <c r="DL89" s="319"/>
      <c r="DM89" s="320"/>
      <c r="DN89" s="88">
        <f t="shared" si="151"/>
        <v>0</v>
      </c>
      <c r="DO89" s="88">
        <f t="shared" si="151"/>
        <v>0</v>
      </c>
      <c r="DP89" s="88">
        <f t="shared" si="151"/>
        <v>0</v>
      </c>
      <c r="DQ89" s="321"/>
      <c r="DR89" s="88">
        <f t="shared" si="152"/>
        <v>980.89267228881863</v>
      </c>
      <c r="DS89" s="321"/>
      <c r="DT89" s="88">
        <f t="shared" si="153"/>
        <v>12576.747216437303</v>
      </c>
      <c r="DU89" s="320"/>
      <c r="DV89" s="88">
        <f t="shared" si="154"/>
        <v>13557.639888726122</v>
      </c>
      <c r="DW89" s="318">
        <f>(1+'Table 7-10-OptionBudget'!$D$14)^(-DK89)</f>
        <v>0.64460891621779726</v>
      </c>
      <c r="DX89" s="174">
        <f t="shared" si="146"/>
        <v>417504.07142412034</v>
      </c>
      <c r="DY89" s="300">
        <f t="shared" si="155"/>
        <v>-127340.00454960618</v>
      </c>
      <c r="DZ89" s="175">
        <f t="shared" si="156"/>
        <v>996035.64599236927</v>
      </c>
      <c r="EB89" s="85"/>
      <c r="EC89" s="88"/>
      <c r="ED89" s="88"/>
      <c r="EE89" s="88"/>
      <c r="EF89" s="88"/>
      <c r="EG89" s="88"/>
      <c r="EH89" s="88"/>
      <c r="EI89" s="88"/>
      <c r="EJ89" s="88"/>
      <c r="EK89" s="88"/>
      <c r="EL89" s="88"/>
      <c r="EM89" s="88"/>
      <c r="EN89" s="88"/>
      <c r="EO89" s="85"/>
      <c r="EP89" s="85"/>
      <c r="EQ89" s="85"/>
    </row>
    <row r="90" spans="1:147" x14ac:dyDescent="0.25">
      <c r="A90" s="137">
        <v>10</v>
      </c>
      <c r="B90" s="319"/>
      <c r="C90" s="320"/>
      <c r="D90" s="88">
        <f t="shared" si="114"/>
        <v>11130.108044972381</v>
      </c>
      <c r="E90" s="88">
        <f t="shared" si="114"/>
        <v>0</v>
      </c>
      <c r="F90" s="88">
        <f t="shared" si="115"/>
        <v>0</v>
      </c>
      <c r="G90" s="320"/>
      <c r="H90" s="88">
        <f t="shared" si="116"/>
        <v>980.78111675786329</v>
      </c>
      <c r="I90" s="320"/>
      <c r="J90" s="88">
        <f t="shared" si="117"/>
        <v>11332.144022087521</v>
      </c>
      <c r="K90" s="320"/>
      <c r="L90" s="88">
        <f t="shared" si="118"/>
        <v>164830.49890808645</v>
      </c>
      <c r="M90" s="318">
        <f>(1+'Table 7-10-OptionBudget'!$D$14)^(-A90)</f>
        <v>0.61391325354075932</v>
      </c>
      <c r="N90" s="174">
        <f t="shared" si="119"/>
        <v>279439.27725055802</v>
      </c>
      <c r="O90" s="85">
        <f t="shared" si="120"/>
        <v>-151332.89479792185</v>
      </c>
      <c r="P90" s="175">
        <f t="shared" si="121"/>
        <v>1.2159514016872639E-9</v>
      </c>
      <c r="AH90" s="137">
        <v>10</v>
      </c>
      <c r="AI90" s="319"/>
      <c r="AJ90" s="320"/>
      <c r="AK90" s="88">
        <f t="shared" si="122"/>
        <v>0</v>
      </c>
      <c r="AL90" s="88">
        <f t="shared" si="122"/>
        <v>62.855004860305598</v>
      </c>
      <c r="AM90" s="88">
        <f t="shared" si="122"/>
        <v>0</v>
      </c>
      <c r="AN90" s="321"/>
      <c r="AO90" s="88">
        <f t="shared" si="123"/>
        <v>1285.2322835642567</v>
      </c>
      <c r="AP90" s="321"/>
      <c r="AQ90" s="88">
        <f t="shared" si="124"/>
        <v>14849.834576069108</v>
      </c>
      <c r="AR90" s="320"/>
      <c r="AS90" s="322">
        <f t="shared" si="125"/>
        <v>16195.199488523162</v>
      </c>
      <c r="AT90" s="318">
        <f>(1+'Table 7-10-OptionBudget'!$D$14)^(-AH90)</f>
        <v>0.61391325354075932</v>
      </c>
      <c r="AU90" s="174">
        <f t="shared" si="126"/>
        <v>371092.93235459679</v>
      </c>
      <c r="AV90" s="85">
        <f t="shared" si="127"/>
        <v>-113180.64876508209</v>
      </c>
      <c r="AW90" s="175">
        <f t="shared" si="128"/>
        <v>676582.1255164243</v>
      </c>
      <c r="AX90" s="75">
        <v>10</v>
      </c>
      <c r="AY90" s="319"/>
      <c r="AZ90" s="320"/>
      <c r="BA90" s="88">
        <f t="shared" si="129"/>
        <v>0</v>
      </c>
      <c r="BB90" s="88">
        <f t="shared" si="129"/>
        <v>0</v>
      </c>
      <c r="BC90" s="88">
        <f t="shared" si="129"/>
        <v>0</v>
      </c>
      <c r="BD90" s="321"/>
      <c r="BE90" s="88">
        <f t="shared" si="130"/>
        <v>1238.5199302376541</v>
      </c>
      <c r="BF90" s="321"/>
      <c r="BG90" s="88">
        <f t="shared" si="131"/>
        <v>14310.11056786474</v>
      </c>
      <c r="BH90" s="320"/>
      <c r="BI90" s="322">
        <f t="shared" si="132"/>
        <v>15548.630498102393</v>
      </c>
      <c r="BJ90" s="318">
        <f>(1+'Table 7-10-OptionBudget'!$D$14)^(-AX90)</f>
        <v>0.61391325354075932</v>
      </c>
      <c r="BK90" s="174">
        <f t="shared" si="133"/>
        <v>375176.56749581976</v>
      </c>
      <c r="BL90" s="300">
        <f t="shared" si="147"/>
        <v>-119187.27522495843</v>
      </c>
      <c r="BM90" s="270">
        <f t="shared" si="148"/>
        <v>708228.51688260073</v>
      </c>
      <c r="CE90" s="137">
        <v>10</v>
      </c>
      <c r="CF90" s="319"/>
      <c r="CG90" s="320"/>
      <c r="CH90" s="88">
        <f t="shared" si="134"/>
        <v>0</v>
      </c>
      <c r="CI90" s="88">
        <f t="shared" si="134"/>
        <v>82.800284286926853</v>
      </c>
      <c r="CJ90" s="88">
        <f t="shared" si="134"/>
        <v>0</v>
      </c>
      <c r="CK90" s="321"/>
      <c r="CL90" s="88">
        <f t="shared" si="135"/>
        <v>1352.833904701145</v>
      </c>
      <c r="CM90" s="321"/>
      <c r="CN90" s="88">
        <f t="shared" si="136"/>
        <v>15630.917422955659</v>
      </c>
      <c r="CO90" s="320"/>
      <c r="CP90" s="322">
        <f t="shared" si="137"/>
        <v>17062.965366030694</v>
      </c>
      <c r="CQ90" s="318">
        <f>(1+'Table 7-10-OptionBudget'!$D$14)^(-CE90)</f>
        <v>0.61391325354075932</v>
      </c>
      <c r="CR90" s="174">
        <f t="shared" si="138"/>
        <v>426983.15419341018</v>
      </c>
      <c r="CS90" s="85">
        <f t="shared" si="139"/>
        <v>-94405.631210090505</v>
      </c>
      <c r="CT90" s="175">
        <f t="shared" si="140"/>
        <v>856263.46702110011</v>
      </c>
      <c r="CU90" s="75">
        <v>10</v>
      </c>
      <c r="CV90" s="319"/>
      <c r="CW90" s="320"/>
      <c r="CX90" s="88">
        <f t="shared" si="141"/>
        <v>0</v>
      </c>
      <c r="CY90" s="88">
        <f t="shared" si="141"/>
        <v>1.6573687365175829</v>
      </c>
      <c r="CZ90" s="88">
        <f t="shared" si="141"/>
        <v>0</v>
      </c>
      <c r="DA90" s="321"/>
      <c r="DB90" s="88">
        <f t="shared" si="142"/>
        <v>1283.709396019322</v>
      </c>
      <c r="DC90" s="321"/>
      <c r="DD90" s="88">
        <f t="shared" si="143"/>
        <v>14832.238824383254</v>
      </c>
      <c r="DE90" s="320"/>
      <c r="DF90" s="88">
        <f t="shared" si="144"/>
        <v>16117.533805184377</v>
      </c>
      <c r="DG90" s="318">
        <f>(1+'Table 7-10-OptionBudget'!$D$14)^(-CU90)</f>
        <v>0.61391325354075932</v>
      </c>
      <c r="DH90" s="174">
        <f t="shared" si="145"/>
        <v>429544.95905929309</v>
      </c>
      <c r="DI90" s="300">
        <f t="shared" si="149"/>
        <v>-99415.846017790056</v>
      </c>
      <c r="DJ90" s="175">
        <f t="shared" si="150"/>
        <v>896311.85096704494</v>
      </c>
      <c r="DK90" s="75">
        <v>10</v>
      </c>
      <c r="DL90" s="319"/>
      <c r="DM90" s="320"/>
      <c r="DN90" s="88">
        <f t="shared" si="151"/>
        <v>0</v>
      </c>
      <c r="DO90" s="88">
        <f t="shared" si="151"/>
        <v>0</v>
      </c>
      <c r="DP90" s="88">
        <f t="shared" si="151"/>
        <v>0</v>
      </c>
      <c r="DQ90" s="321"/>
      <c r="DR90" s="88">
        <f t="shared" si="152"/>
        <v>1186.3311002962068</v>
      </c>
      <c r="DS90" s="321"/>
      <c r="DT90" s="88">
        <f t="shared" si="153"/>
        <v>13707.110237683301</v>
      </c>
      <c r="DU90" s="320"/>
      <c r="DV90" s="88">
        <f t="shared" si="154"/>
        <v>14893.441337979508</v>
      </c>
      <c r="DW90" s="318">
        <f>(1+'Table 7-10-OptionBudget'!$D$14)^(-DK90)</f>
        <v>0.61391325354075932</v>
      </c>
      <c r="DX90" s="174">
        <f t="shared" si="146"/>
        <v>424821.6351066003</v>
      </c>
      <c r="DY90" s="300">
        <f t="shared" si="155"/>
        <v>-102869.03743028852</v>
      </c>
      <c r="DZ90" s="175">
        <f t="shared" si="156"/>
        <v>919613.53146915243</v>
      </c>
      <c r="EB90" s="85"/>
      <c r="EC90" s="88"/>
      <c r="ED90" s="88"/>
      <c r="EE90" s="88"/>
      <c r="EF90" s="88"/>
      <c r="EG90" s="88"/>
      <c r="EH90" s="88"/>
      <c r="EI90" s="88"/>
      <c r="EJ90" s="88"/>
      <c r="EK90" s="88"/>
      <c r="EL90" s="88"/>
      <c r="EM90" s="88"/>
      <c r="EN90" s="88"/>
      <c r="EO90" s="85"/>
      <c r="EP90" s="85"/>
      <c r="EQ90" s="85"/>
    </row>
    <row r="91" spans="1:147" x14ac:dyDescent="0.25">
      <c r="A91" s="137">
        <v>11</v>
      </c>
      <c r="B91" s="319"/>
      <c r="C91" s="320"/>
      <c r="D91" s="88">
        <f t="shared" si="114"/>
        <v>144070.68657015756</v>
      </c>
      <c r="E91" s="88">
        <f t="shared" si="114"/>
        <v>8446.8871990835069</v>
      </c>
      <c r="F91" s="88">
        <f t="shared" si="115"/>
        <v>0</v>
      </c>
      <c r="G91" s="320"/>
      <c r="H91" s="88">
        <f t="shared" si="116"/>
        <v>479.9088456150597</v>
      </c>
      <c r="I91" s="320"/>
      <c r="J91" s="88">
        <f t="shared" si="117"/>
        <v>4890.3570540020946</v>
      </c>
      <c r="K91" s="320"/>
      <c r="L91" s="88">
        <f t="shared" si="118"/>
        <v>122738.83519566743</v>
      </c>
      <c r="M91" s="318">
        <f>(1+'Table 7-10-OptionBudget'!$D$14)^(-A91)</f>
        <v>0.5846792890864374</v>
      </c>
      <c r="N91" s="174">
        <f t="shared" si="119"/>
        <v>269411.70252701954</v>
      </c>
      <c r="O91" s="85">
        <f t="shared" si="120"/>
        <v>0</v>
      </c>
      <c r="P91" s="175">
        <f t="shared" si="121"/>
        <v>1.2485940979973798E-9</v>
      </c>
      <c r="AH91" s="137">
        <v>11</v>
      </c>
      <c r="AI91" s="319"/>
      <c r="AJ91" s="320"/>
      <c r="AK91" s="88">
        <f t="shared" si="122"/>
        <v>0</v>
      </c>
      <c r="AL91" s="88">
        <f t="shared" si="122"/>
        <v>60.132628889796251</v>
      </c>
      <c r="AM91" s="88">
        <f t="shared" si="122"/>
        <v>0</v>
      </c>
      <c r="AN91" s="321"/>
      <c r="AO91" s="88">
        <f t="shared" si="123"/>
        <v>1510.2418565423418</v>
      </c>
      <c r="AP91" s="321"/>
      <c r="AQ91" s="88">
        <f t="shared" si="124"/>
        <v>15389.634893946408</v>
      </c>
      <c r="AR91" s="320"/>
      <c r="AS91" s="322">
        <f t="shared" si="125"/>
        <v>16957.378360387152</v>
      </c>
      <c r="AT91" s="318">
        <f>(1+'Table 7-10-OptionBudget'!$D$14)^(-AH91)</f>
        <v>0.5846792890864374</v>
      </c>
      <c r="AU91" s="174">
        <f t="shared" si="126"/>
        <v>373446.51435758988</v>
      </c>
      <c r="AV91" s="85">
        <f t="shared" si="127"/>
        <v>-106907.04133956975</v>
      </c>
      <c r="AW91" s="175">
        <f t="shared" si="128"/>
        <v>587340.10431194655</v>
      </c>
      <c r="AX91" s="75">
        <v>11</v>
      </c>
      <c r="AY91" s="319"/>
      <c r="AZ91" s="320"/>
      <c r="BA91" s="88">
        <f t="shared" si="129"/>
        <v>0</v>
      </c>
      <c r="BB91" s="88">
        <f t="shared" si="129"/>
        <v>0</v>
      </c>
      <c r="BC91" s="88">
        <f t="shared" si="129"/>
        <v>0</v>
      </c>
      <c r="BD91" s="321"/>
      <c r="BE91" s="88">
        <f t="shared" si="130"/>
        <v>1470.9240702727625</v>
      </c>
      <c r="BF91" s="321"/>
      <c r="BG91" s="88">
        <f t="shared" si="131"/>
        <v>14988.979612869531</v>
      </c>
      <c r="BH91" s="320"/>
      <c r="BI91" s="322">
        <f t="shared" si="132"/>
        <v>16459.903683142293</v>
      </c>
      <c r="BJ91" s="318">
        <f>(1+'Table 7-10-OptionBudget'!$D$14)^(-AX91)</f>
        <v>0.5846792890864374</v>
      </c>
      <c r="BK91" s="174">
        <f t="shared" si="133"/>
        <v>378386.76537250832</v>
      </c>
      <c r="BL91" s="300">
        <f t="shared" si="147"/>
        <v>-112580.72027906943</v>
      </c>
      <c r="BM91" s="270">
        <f t="shared" si="148"/>
        <v>615499.88626953179</v>
      </c>
      <c r="CE91" s="137">
        <v>11</v>
      </c>
      <c r="CF91" s="319"/>
      <c r="CG91" s="320"/>
      <c r="CH91" s="88">
        <f t="shared" si="134"/>
        <v>0</v>
      </c>
      <c r="CI91" s="88">
        <f t="shared" si="134"/>
        <v>79.214038373891071</v>
      </c>
      <c r="CJ91" s="88">
        <f t="shared" si="134"/>
        <v>0</v>
      </c>
      <c r="CK91" s="321"/>
      <c r="CL91" s="88">
        <f t="shared" si="135"/>
        <v>1608.5294938937386</v>
      </c>
      <c r="CM91" s="321"/>
      <c r="CN91" s="88">
        <f t="shared" si="136"/>
        <v>16391.203514809349</v>
      </c>
      <c r="CO91" s="320"/>
      <c r="CP91" s="322">
        <f t="shared" si="137"/>
        <v>18075.481147727583</v>
      </c>
      <c r="CQ91" s="318">
        <f>(1+'Table 7-10-OptionBudget'!$D$14)^(-CE91)</f>
        <v>0.5846792890864374</v>
      </c>
      <c r="CR91" s="174">
        <f t="shared" si="138"/>
        <v>431261.62027692265</v>
      </c>
      <c r="CS91" s="85">
        <f t="shared" si="139"/>
        <v>-89625.925656041829</v>
      </c>
      <c r="CT91" s="175">
        <f t="shared" si="140"/>
        <v>786813.61448780389</v>
      </c>
      <c r="CU91" s="75">
        <v>11</v>
      </c>
      <c r="CV91" s="319"/>
      <c r="CW91" s="320"/>
      <c r="CX91" s="88">
        <f t="shared" si="141"/>
        <v>0</v>
      </c>
      <c r="CY91" s="88">
        <f t="shared" si="141"/>
        <v>1.5855847818015718</v>
      </c>
      <c r="CZ91" s="88">
        <f t="shared" si="141"/>
        <v>0</v>
      </c>
      <c r="DA91" s="321"/>
      <c r="DB91" s="88">
        <f t="shared" si="142"/>
        <v>1542.3221555146442</v>
      </c>
      <c r="DC91" s="321"/>
      <c r="DD91" s="88">
        <f t="shared" si="143"/>
        <v>15716.538883750196</v>
      </c>
      <c r="DE91" s="320"/>
      <c r="DF91" s="88">
        <f t="shared" si="144"/>
        <v>17260.377249004334</v>
      </c>
      <c r="DG91" s="318">
        <f>(1+'Table 7-10-OptionBudget'!$D$14)^(-CU91)</f>
        <v>0.5846792890864374</v>
      </c>
      <c r="DH91" s="174">
        <f t="shared" si="145"/>
        <v>434904.5185546818</v>
      </c>
      <c r="DI91" s="300">
        <f t="shared" si="149"/>
        <v>-94382.476024063581</v>
      </c>
      <c r="DJ91" s="175">
        <f t="shared" si="150"/>
        <v>824145.70092838863</v>
      </c>
      <c r="DK91" s="75">
        <v>11</v>
      </c>
      <c r="DL91" s="319"/>
      <c r="DM91" s="320"/>
      <c r="DN91" s="88">
        <f t="shared" si="151"/>
        <v>0</v>
      </c>
      <c r="DO91" s="88">
        <f t="shared" si="151"/>
        <v>0</v>
      </c>
      <c r="DP91" s="88">
        <f t="shared" si="151"/>
        <v>0</v>
      </c>
      <c r="DQ91" s="321"/>
      <c r="DR91" s="88">
        <f t="shared" si="152"/>
        <v>1443.1947107099722</v>
      </c>
      <c r="DS91" s="321"/>
      <c r="DT91" s="88">
        <f t="shared" si="153"/>
        <v>14706.412474589219</v>
      </c>
      <c r="DU91" s="320"/>
      <c r="DV91" s="88">
        <f t="shared" si="154"/>
        <v>16149.607185299192</v>
      </c>
      <c r="DW91" s="318">
        <f>(1+'Table 7-10-OptionBudget'!$D$14)^(-DK91)</f>
        <v>0.5846792890864374</v>
      </c>
      <c r="DX91" s="174">
        <f t="shared" si="146"/>
        <v>431169.27552395075</v>
      </c>
      <c r="DY91" s="300">
        <f t="shared" si="155"/>
        <v>-97660.834241105928</v>
      </c>
      <c r="DZ91" s="175">
        <f t="shared" si="156"/>
        <v>846341.88331799174</v>
      </c>
      <c r="EB91" s="85"/>
      <c r="EC91" s="88"/>
      <c r="ED91" s="88"/>
      <c r="EE91" s="88"/>
      <c r="EF91" s="88"/>
      <c r="EG91" s="88"/>
      <c r="EH91" s="88"/>
      <c r="EI91" s="88"/>
      <c r="EJ91" s="88"/>
      <c r="EK91" s="88"/>
      <c r="EL91" s="88"/>
      <c r="EM91" s="88"/>
      <c r="EN91" s="88"/>
      <c r="EO91" s="85"/>
      <c r="EP91" s="85"/>
      <c r="EQ91" s="85"/>
    </row>
    <row r="92" spans="1:147" x14ac:dyDescent="0.25">
      <c r="A92" s="137">
        <v>12</v>
      </c>
      <c r="B92" s="319"/>
      <c r="C92" s="320"/>
      <c r="D92" s="88">
        <f t="shared" si="114"/>
        <v>109291.26382072059</v>
      </c>
      <c r="E92" s="88">
        <f t="shared" si="114"/>
        <v>8077.3054753296874</v>
      </c>
      <c r="F92" s="88">
        <f t="shared" si="115"/>
        <v>0</v>
      </c>
      <c r="G92" s="320"/>
      <c r="H92" s="88">
        <f t="shared" si="116"/>
        <v>0</v>
      </c>
      <c r="I92" s="320"/>
      <c r="J92" s="88">
        <f t="shared" si="117"/>
        <v>0</v>
      </c>
      <c r="K92" s="320"/>
      <c r="L92" s="88">
        <f t="shared" si="118"/>
        <v>0</v>
      </c>
      <c r="M92" s="318">
        <f>(1+'Table 7-10-OptionBudget'!$D$14)^(-A92)</f>
        <v>0.5568374181775595</v>
      </c>
      <c r="N92" s="174">
        <f t="shared" si="119"/>
        <v>117368.56929605028</v>
      </c>
      <c r="O92" s="85">
        <f t="shared" si="120"/>
        <v>0</v>
      </c>
      <c r="P92" s="175">
        <f t="shared" si="121"/>
        <v>1.2821131004007456E-9</v>
      </c>
      <c r="AH92" s="137">
        <v>12</v>
      </c>
      <c r="AI92" s="319"/>
      <c r="AJ92" s="320"/>
      <c r="AK92" s="88">
        <f t="shared" si="122"/>
        <v>0</v>
      </c>
      <c r="AL92" s="88">
        <f t="shared" si="122"/>
        <v>57.501609898403785</v>
      </c>
      <c r="AM92" s="88">
        <f t="shared" si="122"/>
        <v>0</v>
      </c>
      <c r="AN92" s="321"/>
      <c r="AO92" s="88">
        <f t="shared" si="123"/>
        <v>1821.8650884921121</v>
      </c>
      <c r="AP92" s="321"/>
      <c r="AQ92" s="88">
        <f t="shared" si="124"/>
        <v>15803.945339746697</v>
      </c>
      <c r="AR92" s="320"/>
      <c r="AS92" s="322">
        <f t="shared" si="125"/>
        <v>17680.758598647419</v>
      </c>
      <c r="AT92" s="318">
        <f>(1+'Table 7-10-OptionBudget'!$D$14)^(-AH92)</f>
        <v>0.5568374181775595</v>
      </c>
      <c r="AU92" s="174">
        <f t="shared" si="126"/>
        <v>375155.82406464632</v>
      </c>
      <c r="AV92" s="85">
        <f t="shared" si="127"/>
        <v>-111280.72580600817</v>
      </c>
      <c r="AW92" s="175">
        <f t="shared" si="128"/>
        <v>491732.61035497574</v>
      </c>
      <c r="AX92" s="75">
        <v>12</v>
      </c>
      <c r="AY92" s="319"/>
      <c r="AZ92" s="320"/>
      <c r="BA92" s="88">
        <f t="shared" si="129"/>
        <v>0</v>
      </c>
      <c r="BB92" s="88">
        <f t="shared" si="129"/>
        <v>0</v>
      </c>
      <c r="BC92" s="88">
        <f t="shared" si="129"/>
        <v>0</v>
      </c>
      <c r="BD92" s="321"/>
      <c r="BE92" s="88">
        <f t="shared" si="130"/>
        <v>1791.9662145366833</v>
      </c>
      <c r="BF92" s="321"/>
      <c r="BG92" s="88">
        <f t="shared" si="131"/>
        <v>15544.58465892775</v>
      </c>
      <c r="BH92" s="320"/>
      <c r="BI92" s="322">
        <f t="shared" si="132"/>
        <v>17336.550873464432</v>
      </c>
      <c r="BJ92" s="318">
        <f>(1+'Table 7-10-OptionBudget'!$D$14)^(-AX92)</f>
        <v>0.5568374181775595</v>
      </c>
      <c r="BK92" s="174">
        <f t="shared" si="133"/>
        <v>380846.19995799148</v>
      </c>
      <c r="BL92" s="300">
        <f t="shared" si="147"/>
        <v>-117186.52118175289</v>
      </c>
      <c r="BM92" s="270">
        <f t="shared" si="148"/>
        <v>515878.23055454646</v>
      </c>
      <c r="CE92" s="137">
        <v>12</v>
      </c>
      <c r="CF92" s="319"/>
      <c r="CG92" s="320"/>
      <c r="CH92" s="88">
        <f t="shared" si="134"/>
        <v>0</v>
      </c>
      <c r="CI92" s="88">
        <f t="shared" si="134"/>
        <v>75.748139024494776</v>
      </c>
      <c r="CJ92" s="88">
        <f t="shared" si="134"/>
        <v>0</v>
      </c>
      <c r="CK92" s="321"/>
      <c r="CL92" s="88">
        <f t="shared" si="135"/>
        <v>1964.2027170480069</v>
      </c>
      <c r="CM92" s="321"/>
      <c r="CN92" s="88">
        <f t="shared" si="136"/>
        <v>17038.666898272382</v>
      </c>
      <c r="CO92" s="320"/>
      <c r="CP92" s="322">
        <f t="shared" si="137"/>
        <v>19075.254052184107</v>
      </c>
      <c r="CQ92" s="318">
        <f>(1+'Table 7-10-OptionBudget'!$D$14)^(-CE92)</f>
        <v>0.5568374181775595</v>
      </c>
      <c r="CR92" s="174">
        <f t="shared" si="138"/>
        <v>434741.79354177311</v>
      </c>
      <c r="CS92" s="85">
        <f t="shared" si="139"/>
        <v>-91618.716190622741</v>
      </c>
      <c r="CT92" s="175">
        <f t="shared" si="140"/>
        <v>713822.59695015661</v>
      </c>
      <c r="CU92" s="75">
        <v>12</v>
      </c>
      <c r="CV92" s="319"/>
      <c r="CW92" s="320"/>
      <c r="CX92" s="88">
        <f t="shared" si="141"/>
        <v>0</v>
      </c>
      <c r="CY92" s="88">
        <f t="shared" si="141"/>
        <v>1.5162097394922966</v>
      </c>
      <c r="CZ92" s="88">
        <f t="shared" si="141"/>
        <v>0</v>
      </c>
      <c r="DA92" s="321"/>
      <c r="DB92" s="88">
        <f t="shared" si="142"/>
        <v>1900.7021559820055</v>
      </c>
      <c r="DC92" s="321"/>
      <c r="DD92" s="88">
        <f t="shared" si="143"/>
        <v>16487.825124932882</v>
      </c>
      <c r="DE92" s="320"/>
      <c r="DF92" s="88">
        <f t="shared" si="144"/>
        <v>18389.976161238206</v>
      </c>
      <c r="DG92" s="318">
        <f>(1+'Table 7-10-OptionBudget'!$D$14)^(-CU92)</f>
        <v>0.5568374181775595</v>
      </c>
      <c r="DH92" s="174">
        <f t="shared" si="145"/>
        <v>439389.21857913025</v>
      </c>
      <c r="DI92" s="300">
        <f t="shared" si="149"/>
        <v>-96481.026231208729</v>
      </c>
      <c r="DJ92" s="175">
        <f t="shared" si="150"/>
        <v>748171.00810753088</v>
      </c>
      <c r="DK92" s="75">
        <v>12</v>
      </c>
      <c r="DL92" s="319"/>
      <c r="DM92" s="320"/>
      <c r="DN92" s="88">
        <f t="shared" si="151"/>
        <v>0</v>
      </c>
      <c r="DO92" s="88">
        <f t="shared" si="151"/>
        <v>0</v>
      </c>
      <c r="DP92" s="88">
        <f t="shared" si="151"/>
        <v>0</v>
      </c>
      <c r="DQ92" s="321"/>
      <c r="DR92" s="88">
        <f t="shared" si="152"/>
        <v>1797.7336636713817</v>
      </c>
      <c r="DS92" s="321"/>
      <c r="DT92" s="88">
        <f t="shared" si="153"/>
        <v>15594.614955600264</v>
      </c>
      <c r="DU92" s="320"/>
      <c r="DV92" s="88">
        <f t="shared" si="154"/>
        <v>17392.348619271645</v>
      </c>
      <c r="DW92" s="318">
        <f>(1+'Table 7-10-OptionBudget'!$D$14)^(-DK92)</f>
        <v>0.5568374181775595</v>
      </c>
      <c r="DX92" s="174">
        <f t="shared" si="146"/>
        <v>436578.13211484911</v>
      </c>
      <c r="DY92" s="300">
        <f t="shared" si="155"/>
        <v>-99832.277209760272</v>
      </c>
      <c r="DZ92" s="175">
        <f t="shared" si="156"/>
        <v>769016.61849079281</v>
      </c>
      <c r="EB92" s="85"/>
      <c r="EC92" s="88"/>
      <c r="ED92" s="88"/>
      <c r="EE92" s="88"/>
      <c r="EF92" s="88"/>
      <c r="EG92" s="88"/>
      <c r="EH92" s="88"/>
      <c r="EI92" s="88"/>
      <c r="EJ92" s="88"/>
      <c r="EK92" s="88"/>
      <c r="EL92" s="88"/>
      <c r="EM92" s="88"/>
      <c r="EN92" s="88"/>
      <c r="EO92" s="85"/>
      <c r="EP92" s="85"/>
      <c r="EQ92" s="85"/>
    </row>
    <row r="93" spans="1:147" x14ac:dyDescent="0.25">
      <c r="A93" s="137">
        <v>13</v>
      </c>
      <c r="B93" s="319"/>
      <c r="C93" s="320"/>
      <c r="D93" s="88">
        <f t="shared" si="114"/>
        <v>0</v>
      </c>
      <c r="E93" s="88">
        <f t="shared" si="114"/>
        <v>0</v>
      </c>
      <c r="F93" s="88">
        <f t="shared" si="115"/>
        <v>0</v>
      </c>
      <c r="G93" s="320"/>
      <c r="H93" s="88">
        <f t="shared" si="116"/>
        <v>0</v>
      </c>
      <c r="I93" s="320"/>
      <c r="J93" s="88">
        <f t="shared" si="117"/>
        <v>0</v>
      </c>
      <c r="K93" s="320"/>
      <c r="L93" s="88">
        <f t="shared" si="118"/>
        <v>0</v>
      </c>
      <c r="M93" s="318">
        <f>(1+'Table 7-10-OptionBudget'!$D$14)^(-A93)</f>
        <v>0.53032135064529462</v>
      </c>
      <c r="N93" s="174">
        <f t="shared" si="119"/>
        <v>0</v>
      </c>
      <c r="O93" s="85">
        <f t="shared" si="120"/>
        <v>0</v>
      </c>
      <c r="P93" s="175">
        <f t="shared" si="121"/>
        <v>1.3165319336810304E-9</v>
      </c>
      <c r="AH93" s="137">
        <v>13</v>
      </c>
      <c r="AI93" s="319"/>
      <c r="AJ93" s="320"/>
      <c r="AK93" s="88">
        <f t="shared" si="122"/>
        <v>0</v>
      </c>
      <c r="AL93" s="88">
        <f t="shared" si="122"/>
        <v>54.948170408611077</v>
      </c>
      <c r="AM93" s="88">
        <f t="shared" si="122"/>
        <v>0</v>
      </c>
      <c r="AN93" s="321"/>
      <c r="AO93" s="88">
        <f t="shared" si="123"/>
        <v>2175.7216436033168</v>
      </c>
      <c r="AP93" s="321"/>
      <c r="AQ93" s="88">
        <f t="shared" si="124"/>
        <v>16089.340231678296</v>
      </c>
      <c r="AR93" s="320"/>
      <c r="AS93" s="322">
        <f t="shared" si="125"/>
        <v>18317.528322563354</v>
      </c>
      <c r="AT93" s="318">
        <f>(1+'Table 7-10-OptionBudget'!$D$14)^(-AH93)</f>
        <v>0.53032135064529462</v>
      </c>
      <c r="AU93" s="174">
        <f t="shared" si="126"/>
        <v>376227.42814924649</v>
      </c>
      <c r="AV93" s="85">
        <f t="shared" si="127"/>
        <v>-116472.41648739827</v>
      </c>
      <c r="AW93" s="175">
        <f t="shared" si="128"/>
        <v>388939.27824249817</v>
      </c>
      <c r="AX93" s="75">
        <v>13</v>
      </c>
      <c r="AY93" s="319"/>
      <c r="AZ93" s="320"/>
      <c r="BA93" s="88">
        <f t="shared" si="129"/>
        <v>0</v>
      </c>
      <c r="BB93" s="88">
        <f t="shared" si="129"/>
        <v>0</v>
      </c>
      <c r="BC93" s="88">
        <f t="shared" si="129"/>
        <v>0</v>
      </c>
      <c r="BD93" s="321"/>
      <c r="BE93" s="88">
        <f t="shared" si="130"/>
        <v>2160.1555626181548</v>
      </c>
      <c r="BF93" s="321"/>
      <c r="BG93" s="88">
        <f t="shared" si="131"/>
        <v>15974.229930790105</v>
      </c>
      <c r="BH93" s="320"/>
      <c r="BI93" s="322">
        <f t="shared" si="132"/>
        <v>18134.385493408259</v>
      </c>
      <c r="BJ93" s="318">
        <f>(1+'Table 7-10-OptionBudget'!$D$14)^(-AX93)</f>
        <v>0.53032135064529462</v>
      </c>
      <c r="BK93" s="174">
        <f t="shared" si="133"/>
        <v>382551.95908242662</v>
      </c>
      <c r="BL93" s="300">
        <f t="shared" si="147"/>
        <v>-122653.74082466237</v>
      </c>
      <c r="BM93" s="270">
        <f t="shared" si="148"/>
        <v>408478.51911547233</v>
      </c>
      <c r="CE93" s="137">
        <v>13</v>
      </c>
      <c r="CF93" s="319"/>
      <c r="CG93" s="320"/>
      <c r="CH93" s="88">
        <f t="shared" si="134"/>
        <v>0</v>
      </c>
      <c r="CI93" s="88">
        <f t="shared" si="134"/>
        <v>72.384436863717838</v>
      </c>
      <c r="CJ93" s="88">
        <f t="shared" si="134"/>
        <v>0</v>
      </c>
      <c r="CK93" s="321"/>
      <c r="CL93" s="88">
        <f t="shared" si="135"/>
        <v>2376.1932093059313</v>
      </c>
      <c r="CM93" s="321"/>
      <c r="CN93" s="88">
        <f t="shared" si="136"/>
        <v>17571.816281337291</v>
      </c>
      <c r="CO93" s="320"/>
      <c r="CP93" s="322">
        <f t="shared" si="137"/>
        <v>20017.124698892876</v>
      </c>
      <c r="CQ93" s="318">
        <f>(1+'Table 7-10-OptionBudget'!$D$14)^(-CE93)</f>
        <v>0.53032135064529462</v>
      </c>
      <c r="CR93" s="174">
        <f t="shared" si="138"/>
        <v>437396.47805756563</v>
      </c>
      <c r="CS93" s="85">
        <f t="shared" si="139"/>
        <v>-94239.188455671567</v>
      </c>
      <c r="CT93" s="175">
        <f t="shared" si="140"/>
        <v>636742.55658514856</v>
      </c>
      <c r="CU93" s="75">
        <v>13</v>
      </c>
      <c r="CV93" s="319"/>
      <c r="CW93" s="320"/>
      <c r="CX93" s="88">
        <f t="shared" si="141"/>
        <v>0</v>
      </c>
      <c r="CY93" s="88">
        <f t="shared" si="141"/>
        <v>1.4488803233170984</v>
      </c>
      <c r="CZ93" s="88">
        <f t="shared" si="141"/>
        <v>0</v>
      </c>
      <c r="DA93" s="321"/>
      <c r="DB93" s="88">
        <f t="shared" si="142"/>
        <v>2318.4948979042415</v>
      </c>
      <c r="DC93" s="321"/>
      <c r="DD93" s="88">
        <f t="shared" si="143"/>
        <v>17145.140485899756</v>
      </c>
      <c r="DE93" s="320"/>
      <c r="DF93" s="88">
        <f t="shared" si="144"/>
        <v>19465.018825737287</v>
      </c>
      <c r="DG93" s="318">
        <f>(1+'Table 7-10-OptionBudget'!$D$14)^(-CU93)</f>
        <v>0.53032135064529462</v>
      </c>
      <c r="DH93" s="174">
        <f t="shared" si="145"/>
        <v>442968.56020694535</v>
      </c>
      <c r="DI93" s="300">
        <f t="shared" si="149"/>
        <v>-99240.569956055289</v>
      </c>
      <c r="DJ93" s="175">
        <f t="shared" si="150"/>
        <v>667803.50303570437</v>
      </c>
      <c r="DK93" s="75">
        <v>13</v>
      </c>
      <c r="DL93" s="319"/>
      <c r="DM93" s="320"/>
      <c r="DN93" s="88">
        <f t="shared" si="151"/>
        <v>0</v>
      </c>
      <c r="DO93" s="88">
        <f t="shared" si="151"/>
        <v>0</v>
      </c>
      <c r="DP93" s="88">
        <f t="shared" si="151"/>
        <v>0</v>
      </c>
      <c r="DQ93" s="321"/>
      <c r="DR93" s="88">
        <f t="shared" si="152"/>
        <v>2213.8564915804945</v>
      </c>
      <c r="DS93" s="321"/>
      <c r="DT93" s="88">
        <f t="shared" si="153"/>
        <v>16371.345305991006</v>
      </c>
      <c r="DU93" s="320"/>
      <c r="DV93" s="88">
        <f t="shared" si="154"/>
        <v>18585.201797571499</v>
      </c>
      <c r="DW93" s="318">
        <f>(1+'Table 7-10-OptionBudget'!$D$14)^(-DK93)</f>
        <v>0.53032135064529462</v>
      </c>
      <c r="DX93" s="174">
        <f t="shared" si="146"/>
        <v>441014.69010131987</v>
      </c>
      <c r="DY93" s="300">
        <f t="shared" si="155"/>
        <v>-102687.67318628257</v>
      </c>
      <c r="DZ93" s="175">
        <f t="shared" si="156"/>
        <v>687022.13274461217</v>
      </c>
      <c r="EB93" s="85"/>
      <c r="EC93" s="88"/>
      <c r="ED93" s="88"/>
      <c r="EE93" s="88"/>
      <c r="EF93" s="88"/>
      <c r="EG93" s="88"/>
      <c r="EH93" s="88"/>
      <c r="EI93" s="88"/>
      <c r="EJ93" s="88"/>
      <c r="EK93" s="88"/>
      <c r="EL93" s="88"/>
      <c r="EM93" s="88"/>
      <c r="EN93" s="88"/>
      <c r="EO93" s="85"/>
      <c r="EP93" s="85"/>
      <c r="EQ93" s="85"/>
    </row>
    <row r="94" spans="1:147" x14ac:dyDescent="0.25">
      <c r="A94" s="137">
        <v>14</v>
      </c>
      <c r="B94" s="319"/>
      <c r="C94" s="320"/>
      <c r="D94" s="88">
        <f t="shared" si="114"/>
        <v>0</v>
      </c>
      <c r="E94" s="88">
        <f t="shared" si="114"/>
        <v>0</v>
      </c>
      <c r="F94" s="88">
        <f t="shared" si="115"/>
        <v>0</v>
      </c>
      <c r="G94" s="320"/>
      <c r="H94" s="88">
        <f t="shared" si="116"/>
        <v>0</v>
      </c>
      <c r="I94" s="320"/>
      <c r="J94" s="88">
        <f t="shared" si="117"/>
        <v>0</v>
      </c>
      <c r="K94" s="320"/>
      <c r="L94" s="88">
        <f t="shared" si="118"/>
        <v>0</v>
      </c>
      <c r="M94" s="318">
        <f>(1+'Table 7-10-OptionBudget'!$D$14)^(-A94)</f>
        <v>0.50506795299551888</v>
      </c>
      <c r="N94" s="174">
        <f t="shared" si="119"/>
        <v>0</v>
      </c>
      <c r="O94" s="85">
        <f t="shared" si="120"/>
        <v>0</v>
      </c>
      <c r="P94" s="175">
        <f t="shared" si="121"/>
        <v>1.3518747541540252E-9</v>
      </c>
      <c r="AH94" s="137">
        <v>14</v>
      </c>
      <c r="AI94" s="319"/>
      <c r="AJ94" s="320"/>
      <c r="AK94" s="88">
        <f t="shared" si="122"/>
        <v>0</v>
      </c>
      <c r="AL94" s="88">
        <f t="shared" si="122"/>
        <v>52.466447281739875</v>
      </c>
      <c r="AM94" s="88">
        <f t="shared" si="122"/>
        <v>0</v>
      </c>
      <c r="AN94" s="321"/>
      <c r="AO94" s="88">
        <f t="shared" si="123"/>
        <v>2516.9413419678722</v>
      </c>
      <c r="AP94" s="321"/>
      <c r="AQ94" s="88">
        <f t="shared" si="124"/>
        <v>16243.097294164612</v>
      </c>
      <c r="AR94" s="320"/>
      <c r="AS94" s="322">
        <f t="shared" si="125"/>
        <v>18810.096159940309</v>
      </c>
      <c r="AT94" s="318">
        <f>(1+'Table 7-10-OptionBudget'!$D$14)^(-AH94)</f>
        <v>0.50506795299551888</v>
      </c>
      <c r="AU94" s="174">
        <f t="shared" si="126"/>
        <v>376716.04210249829</v>
      </c>
      <c r="AV94" s="85">
        <f t="shared" si="127"/>
        <v>-120248.00476793796</v>
      </c>
      <c r="AW94" s="175">
        <f t="shared" si="128"/>
        <v>280259.16534313618</v>
      </c>
      <c r="AX94" s="75">
        <v>14</v>
      </c>
      <c r="AY94" s="319"/>
      <c r="AZ94" s="320"/>
      <c r="BA94" s="88">
        <f t="shared" si="129"/>
        <v>0</v>
      </c>
      <c r="BB94" s="88">
        <f t="shared" si="129"/>
        <v>0</v>
      </c>
      <c r="BC94" s="88">
        <f t="shared" si="129"/>
        <v>0</v>
      </c>
      <c r="BD94" s="321"/>
      <c r="BE94" s="88">
        <f t="shared" si="130"/>
        <v>2521.630998898343</v>
      </c>
      <c r="BF94" s="321"/>
      <c r="BG94" s="88">
        <f t="shared" si="131"/>
        <v>16273.362025617726</v>
      </c>
      <c r="BH94" s="320"/>
      <c r="BI94" s="322">
        <f t="shared" si="132"/>
        <v>18794.993024516069</v>
      </c>
      <c r="BJ94" s="318">
        <f>(1+'Table 7-10-OptionBudget'!$D$14)^(-AX94)</f>
        <v>0.50506795299551888</v>
      </c>
      <c r="BK94" s="174">
        <f t="shared" si="133"/>
        <v>383545.17154313979</v>
      </c>
      <c r="BL94" s="300">
        <f t="shared" si="147"/>
        <v>-126629.70389289707</v>
      </c>
      <c r="BM94" s="270">
        <f t="shared" si="148"/>
        <v>294649.92720930849</v>
      </c>
      <c r="CE94" s="137">
        <v>14</v>
      </c>
      <c r="CF94" s="319"/>
      <c r="CG94" s="320"/>
      <c r="CH94" s="88">
        <f t="shared" si="134"/>
        <v>0</v>
      </c>
      <c r="CI94" s="88">
        <f t="shared" si="134"/>
        <v>69.115208249655552</v>
      </c>
      <c r="CJ94" s="88">
        <f t="shared" si="134"/>
        <v>0</v>
      </c>
      <c r="CK94" s="321"/>
      <c r="CL94" s="88">
        <f t="shared" si="135"/>
        <v>2787.7173660966664</v>
      </c>
      <c r="CM94" s="321"/>
      <c r="CN94" s="88">
        <f t="shared" si="136"/>
        <v>17990.552124165657</v>
      </c>
      <c r="CO94" s="320"/>
      <c r="CP94" s="322">
        <f t="shared" si="137"/>
        <v>20844.211370486486</v>
      </c>
      <c r="CQ94" s="318">
        <f>(1+'Table 7-10-OptionBudget'!$D$14)^(-CE94)</f>
        <v>0.50506795299551888</v>
      </c>
      <c r="CR94" s="174">
        <f t="shared" si="138"/>
        <v>439242.28881109395</v>
      </c>
      <c r="CS94" s="85">
        <f t="shared" si="139"/>
        <v>-96017.772864244791</v>
      </c>
      <c r="CT94" s="175">
        <f t="shared" si="140"/>
        <v>556413.28069558321</v>
      </c>
      <c r="CU94" s="75">
        <v>14</v>
      </c>
      <c r="CV94" s="319"/>
      <c r="CW94" s="320"/>
      <c r="CX94" s="88">
        <f t="shared" si="141"/>
        <v>0</v>
      </c>
      <c r="CY94" s="88">
        <f t="shared" si="141"/>
        <v>1.3834419332906691</v>
      </c>
      <c r="CZ94" s="88">
        <f t="shared" si="141"/>
        <v>0</v>
      </c>
      <c r="DA94" s="321"/>
      <c r="DB94" s="88">
        <f t="shared" si="142"/>
        <v>2740.7211290170289</v>
      </c>
      <c r="DC94" s="321"/>
      <c r="DD94" s="88">
        <f t="shared" si="143"/>
        <v>17687.26160300184</v>
      </c>
      <c r="DE94" s="320"/>
      <c r="DF94" s="88">
        <f t="shared" si="144"/>
        <v>20429.302655152613</v>
      </c>
      <c r="DG94" s="318">
        <f>(1+'Table 7-10-OptionBudget'!$D$14)^(-CU94)</f>
        <v>0.50506795299551888</v>
      </c>
      <c r="DH94" s="174">
        <f t="shared" si="145"/>
        <v>445651.83150914928</v>
      </c>
      <c r="DI94" s="300">
        <f t="shared" si="149"/>
        <v>-101113.54587312597</v>
      </c>
      <c r="DJ94" s="175">
        <f t="shared" si="150"/>
        <v>583921.06040125655</v>
      </c>
      <c r="DK94" s="75">
        <v>14</v>
      </c>
      <c r="DL94" s="319"/>
      <c r="DM94" s="320"/>
      <c r="DN94" s="88">
        <f t="shared" si="151"/>
        <v>0</v>
      </c>
      <c r="DO94" s="88">
        <f t="shared" si="151"/>
        <v>0</v>
      </c>
      <c r="DP94" s="88">
        <f t="shared" si="151"/>
        <v>0</v>
      </c>
      <c r="DQ94" s="321"/>
      <c r="DR94" s="88">
        <f t="shared" si="152"/>
        <v>2639.527958377038</v>
      </c>
      <c r="DS94" s="321"/>
      <c r="DT94" s="88">
        <f t="shared" si="153"/>
        <v>17034.210819178152</v>
      </c>
      <c r="DU94" s="320"/>
      <c r="DV94" s="88">
        <f t="shared" si="154"/>
        <v>19673.738777555191</v>
      </c>
      <c r="DW94" s="318">
        <f>(1+'Table 7-10-OptionBudget'!$D$14)^(-DK94)</f>
        <v>0.50506795299551888</v>
      </c>
      <c r="DX94" s="174">
        <f t="shared" si="146"/>
        <v>444480.22280881449</v>
      </c>
      <c r="DY94" s="300">
        <f t="shared" si="155"/>
        <v>-104625.70658273627</v>
      </c>
      <c r="DZ94" s="175">
        <f t="shared" si="156"/>
        <v>601256.96927898296</v>
      </c>
      <c r="EB94" s="85"/>
      <c r="EC94" s="88"/>
      <c r="ED94" s="88"/>
      <c r="EE94" s="88"/>
      <c r="EF94" s="88"/>
      <c r="EG94" s="88"/>
      <c r="EH94" s="88"/>
      <c r="EI94" s="88"/>
      <c r="EJ94" s="88"/>
      <c r="EK94" s="88"/>
      <c r="EL94" s="88"/>
      <c r="EM94" s="88"/>
      <c r="EN94" s="88"/>
      <c r="EO94" s="85"/>
      <c r="EP94" s="85"/>
      <c r="EQ94" s="85"/>
    </row>
    <row r="95" spans="1:147" x14ac:dyDescent="0.25">
      <c r="A95" s="137">
        <v>15</v>
      </c>
      <c r="B95" s="319"/>
      <c r="C95" s="320"/>
      <c r="D95" s="88">
        <f t="shared" si="114"/>
        <v>0</v>
      </c>
      <c r="E95" s="88">
        <f t="shared" si="114"/>
        <v>0</v>
      </c>
      <c r="F95" s="88">
        <f t="shared" si="115"/>
        <v>0</v>
      </c>
      <c r="G95" s="320"/>
      <c r="H95" s="88">
        <f t="shared" si="116"/>
        <v>0</v>
      </c>
      <c r="I95" s="320"/>
      <c r="J95" s="88">
        <f t="shared" si="117"/>
        <v>0</v>
      </c>
      <c r="K95" s="320"/>
      <c r="L95" s="88">
        <f t="shared" si="118"/>
        <v>0</v>
      </c>
      <c r="M95" s="318">
        <f>(1+'Table 7-10-OptionBudget'!$D$14)^(-A95)</f>
        <v>0.48101709809097021</v>
      </c>
      <c r="N95" s="174">
        <f t="shared" si="119"/>
        <v>0</v>
      </c>
      <c r="O95" s="85">
        <f t="shared" si="120"/>
        <v>0</v>
      </c>
      <c r="P95" s="175">
        <f t="shared" si="121"/>
        <v>1.3881663666213729E-9</v>
      </c>
      <c r="AH95" s="137">
        <v>15</v>
      </c>
      <c r="AI95" s="319"/>
      <c r="AJ95" s="320"/>
      <c r="AK95" s="88">
        <f t="shared" si="122"/>
        <v>0</v>
      </c>
      <c r="AL95" s="88">
        <f t="shared" si="122"/>
        <v>50.057523807825419</v>
      </c>
      <c r="AM95" s="88">
        <f t="shared" si="122"/>
        <v>0</v>
      </c>
      <c r="AN95" s="321"/>
      <c r="AO95" s="88">
        <f t="shared" si="123"/>
        <v>2837.4191431715212</v>
      </c>
      <c r="AP95" s="321"/>
      <c r="AQ95" s="88">
        <f t="shared" si="124"/>
        <v>16264.102906258831</v>
      </c>
      <c r="AR95" s="320"/>
      <c r="AS95" s="322">
        <f t="shared" si="125"/>
        <v>19149.244249591477</v>
      </c>
      <c r="AT95" s="318">
        <f>(1+'Table 7-10-OptionBudget'!$D$14)^(-AH95)</f>
        <v>0.48101709809097021</v>
      </c>
      <c r="AU95" s="174">
        <f t="shared" si="126"/>
        <v>376736.71580184472</v>
      </c>
      <c r="AV95" s="85">
        <f t="shared" si="127"/>
        <v>-122665.11752806482</v>
      </c>
      <c r="AW95" s="175">
        <f t="shared" si="128"/>
        <v>166884.44090485785</v>
      </c>
      <c r="AX95" s="75">
        <v>15</v>
      </c>
      <c r="AY95" s="319"/>
      <c r="AZ95" s="320"/>
      <c r="BA95" s="88">
        <f t="shared" si="129"/>
        <v>0</v>
      </c>
      <c r="BB95" s="88">
        <f t="shared" si="129"/>
        <v>0</v>
      </c>
      <c r="BC95" s="88">
        <f t="shared" si="129"/>
        <v>0</v>
      </c>
      <c r="BD95" s="321"/>
      <c r="BE95" s="88">
        <f t="shared" si="130"/>
        <v>2867.9732199090413</v>
      </c>
      <c r="BF95" s="321"/>
      <c r="BG95" s="88">
        <f t="shared" si="131"/>
        <v>16439.239050476601</v>
      </c>
      <c r="BH95" s="320"/>
      <c r="BI95" s="322">
        <f t="shared" si="132"/>
        <v>19307.212270385644</v>
      </c>
      <c r="BJ95" s="318">
        <f>(1+'Table 7-10-OptionBudget'!$D$14)^(-AX95)</f>
        <v>0.48101709809097021</v>
      </c>
      <c r="BK95" s="174">
        <f t="shared" si="133"/>
        <v>383927.43709578051</v>
      </c>
      <c r="BL95" s="300">
        <f t="shared" si="147"/>
        <v>-129175.09559133973</v>
      </c>
      <c r="BM95" s="270">
        <f t="shared" si="148"/>
        <v>175631.36087821797</v>
      </c>
      <c r="CE95" s="137">
        <v>15</v>
      </c>
      <c r="CF95" s="319"/>
      <c r="CG95" s="320"/>
      <c r="CH95" s="88">
        <f t="shared" si="134"/>
        <v>0</v>
      </c>
      <c r="CI95" s="88">
        <f t="shared" si="134"/>
        <v>65.941880224163469</v>
      </c>
      <c r="CJ95" s="88">
        <f t="shared" si="134"/>
        <v>0</v>
      </c>
      <c r="CK95" s="321"/>
      <c r="CL95" s="88">
        <f t="shared" si="135"/>
        <v>3191.8577177089119</v>
      </c>
      <c r="CM95" s="321"/>
      <c r="CN95" s="88">
        <f t="shared" si="136"/>
        <v>18295.746861328658</v>
      </c>
      <c r="CO95" s="320"/>
      <c r="CP95" s="322">
        <f t="shared" si="137"/>
        <v>21550.470085912013</v>
      </c>
      <c r="CQ95" s="318">
        <f>(1+'Table 7-10-OptionBudget'!$D$14)^(-CE95)</f>
        <v>0.48101709809097021</v>
      </c>
      <c r="CR95" s="174">
        <f t="shared" si="138"/>
        <v>440353.562792724</v>
      </c>
      <c r="CS95" s="85">
        <f t="shared" si="139"/>
        <v>-96933.775561459886</v>
      </c>
      <c r="CT95" s="175">
        <f t="shared" si="140"/>
        <v>473604.37247240578</v>
      </c>
      <c r="CU95" s="75">
        <v>15</v>
      </c>
      <c r="CV95" s="319"/>
      <c r="CW95" s="320"/>
      <c r="CX95" s="88">
        <f t="shared" si="141"/>
        <v>0</v>
      </c>
      <c r="CY95" s="88">
        <f t="shared" si="141"/>
        <v>1.3199231337421224</v>
      </c>
      <c r="CZ95" s="88">
        <f t="shared" si="141"/>
        <v>0</v>
      </c>
      <c r="DA95" s="321"/>
      <c r="DB95" s="88">
        <f t="shared" si="142"/>
        <v>3160.1619508558351</v>
      </c>
      <c r="DC95" s="321"/>
      <c r="DD95" s="88">
        <f t="shared" si="143"/>
        <v>18114.066542778663</v>
      </c>
      <c r="DE95" s="320"/>
      <c r="DF95" s="88">
        <f t="shared" si="144"/>
        <v>21275.486838658268</v>
      </c>
      <c r="DG95" s="318">
        <f>(1+'Table 7-10-OptionBudget'!$D$14)^(-CU95)</f>
        <v>0.48101709809097021</v>
      </c>
      <c r="DH95" s="174">
        <f t="shared" si="145"/>
        <v>447504.98773855774</v>
      </c>
      <c r="DI95" s="300">
        <f t="shared" si="149"/>
        <v>-102078.1618809948</v>
      </c>
      <c r="DJ95" s="175">
        <f t="shared" si="150"/>
        <v>497328.56861969281</v>
      </c>
      <c r="DK95" s="75">
        <v>15</v>
      </c>
      <c r="DL95" s="319"/>
      <c r="DM95" s="320"/>
      <c r="DN95" s="88">
        <f t="shared" si="151"/>
        <v>0</v>
      </c>
      <c r="DO95" s="88">
        <f t="shared" si="151"/>
        <v>0</v>
      </c>
      <c r="DP95" s="88">
        <f t="shared" si="151"/>
        <v>0</v>
      </c>
      <c r="DQ95" s="321"/>
      <c r="DR95" s="88">
        <f t="shared" si="152"/>
        <v>3067.3445956789074</v>
      </c>
      <c r="DS95" s="321"/>
      <c r="DT95" s="88">
        <f t="shared" si="153"/>
        <v>17582.0369271622</v>
      </c>
      <c r="DU95" s="320"/>
      <c r="DV95" s="88">
        <f t="shared" si="154"/>
        <v>20649.381522841108</v>
      </c>
      <c r="DW95" s="318">
        <f>(1+'Table 7-10-OptionBudget'!$D$14)^(-DK95)</f>
        <v>0.48101709809097021</v>
      </c>
      <c r="DX95" s="174">
        <f t="shared" si="146"/>
        <v>447030.49517169985</v>
      </c>
      <c r="DY95" s="300">
        <f t="shared" si="155"/>
        <v>-105623.82835299772</v>
      </c>
      <c r="DZ95" s="175">
        <f t="shared" si="156"/>
        <v>512545.46783550008</v>
      </c>
      <c r="EB95" s="85"/>
      <c r="EC95" s="88"/>
      <c r="ED95" s="88"/>
      <c r="EE95" s="88"/>
      <c r="EF95" s="88"/>
      <c r="EG95" s="88"/>
      <c r="EH95" s="88"/>
      <c r="EI95" s="88"/>
      <c r="EJ95" s="88"/>
      <c r="EK95" s="88"/>
      <c r="EL95" s="88"/>
      <c r="EM95" s="88"/>
      <c r="EN95" s="88"/>
      <c r="EO95" s="85"/>
      <c r="EP95" s="85"/>
      <c r="EQ95" s="85"/>
    </row>
    <row r="96" spans="1:147" x14ac:dyDescent="0.25">
      <c r="A96" s="137">
        <v>16</v>
      </c>
      <c r="B96" s="319"/>
      <c r="C96" s="320"/>
      <c r="D96" s="88">
        <f t="shared" si="114"/>
        <v>0</v>
      </c>
      <c r="E96" s="88">
        <f t="shared" si="114"/>
        <v>0</v>
      </c>
      <c r="F96" s="88">
        <f t="shared" si="115"/>
        <v>0</v>
      </c>
      <c r="G96" s="320"/>
      <c r="H96" s="88">
        <f t="shared" si="116"/>
        <v>0</v>
      </c>
      <c r="I96" s="320"/>
      <c r="J96" s="88">
        <f t="shared" si="117"/>
        <v>0</v>
      </c>
      <c r="K96" s="320"/>
      <c r="L96" s="88">
        <f t="shared" si="118"/>
        <v>0</v>
      </c>
      <c r="M96" s="318">
        <f>(1+'Table 7-10-OptionBudget'!$D$14)^(-A96)</f>
        <v>0.45811152199140021</v>
      </c>
      <c r="N96" s="174">
        <f t="shared" si="119"/>
        <v>0</v>
      </c>
      <c r="O96" s="85">
        <f t="shared" si="120"/>
        <v>0</v>
      </c>
      <c r="P96" s="175">
        <f t="shared" si="121"/>
        <v>1.4254322417794268E-9</v>
      </c>
      <c r="AH96" s="137">
        <v>16</v>
      </c>
      <c r="AI96" s="319"/>
      <c r="AJ96" s="320"/>
      <c r="AK96" s="88">
        <f t="shared" si="122"/>
        <v>0</v>
      </c>
      <c r="AL96" s="88">
        <f t="shared" si="122"/>
        <v>47.72220016112442</v>
      </c>
      <c r="AM96" s="88">
        <f t="shared" si="122"/>
        <v>0</v>
      </c>
      <c r="AN96" s="321"/>
      <c r="AO96" s="88">
        <f t="shared" si="123"/>
        <v>3162.0860278878531</v>
      </c>
      <c r="AP96" s="321"/>
      <c r="AQ96" s="88">
        <f t="shared" si="124"/>
        <v>16151.951708886303</v>
      </c>
      <c r="AR96" s="320"/>
      <c r="AS96" s="322">
        <f t="shared" si="125"/>
        <v>87884.370723379907</v>
      </c>
      <c r="AT96" s="318">
        <f>(1+'Table 7-10-OptionBudget'!$D$14)^(-AH96)</f>
        <v>0.45811152199140021</v>
      </c>
      <c r="AU96" s="174">
        <f t="shared" si="126"/>
        <v>376419.46914250852</v>
      </c>
      <c r="AV96" s="85">
        <f t="shared" si="127"/>
        <v>-125022.30896759471</v>
      </c>
      <c r="AW96" s="175">
        <f t="shared" si="128"/>
        <v>48761.073004093007</v>
      </c>
      <c r="AX96" s="75">
        <v>16</v>
      </c>
      <c r="AY96" s="319"/>
      <c r="AZ96" s="320"/>
      <c r="BA96" s="88">
        <f t="shared" si="129"/>
        <v>0</v>
      </c>
      <c r="BB96" s="88">
        <f t="shared" si="129"/>
        <v>0</v>
      </c>
      <c r="BC96" s="88">
        <f t="shared" si="129"/>
        <v>0</v>
      </c>
      <c r="BD96" s="321"/>
      <c r="BE96" s="88">
        <f t="shared" si="130"/>
        <v>3224.6205507262889</v>
      </c>
      <c r="BF96" s="321"/>
      <c r="BG96" s="88">
        <f t="shared" si="131"/>
        <v>16471.378373473082</v>
      </c>
      <c r="BH96" s="320"/>
      <c r="BI96" s="322">
        <f t="shared" si="132"/>
        <v>88480.857315079862</v>
      </c>
      <c r="BJ96" s="318">
        <f>(1+'Table 7-10-OptionBudget'!$D$14)^(-AX96)</f>
        <v>0.45811152199140021</v>
      </c>
      <c r="BK96" s="174">
        <f t="shared" si="133"/>
        <v>383816.59668018401</v>
      </c>
      <c r="BL96" s="300">
        <f t="shared" si="147"/>
        <v>-131657.38587617726</v>
      </c>
      <c r="BM96" s="270">
        <f t="shared" si="148"/>
        <v>51348.87891008221</v>
      </c>
      <c r="CE96" s="137">
        <v>16</v>
      </c>
      <c r="CF96" s="319"/>
      <c r="CG96" s="320"/>
      <c r="CH96" s="88">
        <f t="shared" si="134"/>
        <v>0</v>
      </c>
      <c r="CI96" s="88">
        <f t="shared" si="134"/>
        <v>62.865506874441962</v>
      </c>
      <c r="CJ96" s="88">
        <f t="shared" si="134"/>
        <v>0</v>
      </c>
      <c r="CK96" s="321"/>
      <c r="CL96" s="88">
        <f t="shared" si="135"/>
        <v>3619.4370269106362</v>
      </c>
      <c r="CM96" s="321"/>
      <c r="CN96" s="88">
        <f t="shared" si="136"/>
        <v>18488.102966339982</v>
      </c>
      <c r="CO96" s="320"/>
      <c r="CP96" s="322">
        <f t="shared" si="137"/>
        <v>22167.421953461206</v>
      </c>
      <c r="CQ96" s="318">
        <f>(1+'Table 7-10-OptionBudget'!$D$14)^(-CE96)</f>
        <v>0.45811152199140021</v>
      </c>
      <c r="CR96" s="174">
        <f t="shared" si="138"/>
        <v>440814.3973790874</v>
      </c>
      <c r="CS96" s="85">
        <f t="shared" si="139"/>
        <v>-97805.973415843866</v>
      </c>
      <c r="CT96" s="175">
        <f t="shared" si="140"/>
        <v>388270.1558380326</v>
      </c>
      <c r="CU96" s="75">
        <v>16</v>
      </c>
      <c r="CV96" s="319"/>
      <c r="CW96" s="320"/>
      <c r="CX96" s="88">
        <f t="shared" si="141"/>
        <v>0</v>
      </c>
      <c r="CY96" s="88">
        <f t="shared" si="141"/>
        <v>1.2583450237689249</v>
      </c>
      <c r="CZ96" s="88">
        <f t="shared" si="141"/>
        <v>0</v>
      </c>
      <c r="DA96" s="321"/>
      <c r="DB96" s="88">
        <f t="shared" si="142"/>
        <v>3607.3307046179766</v>
      </c>
      <c r="DC96" s="321"/>
      <c r="DD96" s="88">
        <f t="shared" si="143"/>
        <v>18426.263809745666</v>
      </c>
      <c r="DE96" s="320"/>
      <c r="DF96" s="88">
        <f t="shared" si="144"/>
        <v>22034.793139339257</v>
      </c>
      <c r="DG96" s="318">
        <f>(1+'Table 7-10-OptionBudget'!$D$14)^(-CU96)</f>
        <v>0.45811152199140021</v>
      </c>
      <c r="DH96" s="174">
        <f t="shared" si="145"/>
        <v>448604.62271256081</v>
      </c>
      <c r="DI96" s="300">
        <f t="shared" si="149"/>
        <v>-102996.64827292964</v>
      </c>
      <c r="DJ96" s="175">
        <f t="shared" si="150"/>
        <v>407972.23367307894</v>
      </c>
      <c r="DK96" s="75">
        <v>16</v>
      </c>
      <c r="DL96" s="319"/>
      <c r="DM96" s="320"/>
      <c r="DN96" s="88">
        <f t="shared" si="151"/>
        <v>0</v>
      </c>
      <c r="DO96" s="88">
        <f t="shared" si="151"/>
        <v>0</v>
      </c>
      <c r="DP96" s="88">
        <f t="shared" si="151"/>
        <v>0</v>
      </c>
      <c r="DQ96" s="321"/>
      <c r="DR96" s="88">
        <f t="shared" si="152"/>
        <v>3526.91995016381</v>
      </c>
      <c r="DS96" s="321"/>
      <c r="DT96" s="88">
        <f t="shared" si="153"/>
        <v>18015.525262038795</v>
      </c>
      <c r="DU96" s="320"/>
      <c r="DV96" s="88">
        <f t="shared" si="154"/>
        <v>21542.445212202605</v>
      </c>
      <c r="DW96" s="318">
        <f>(1+'Table 7-10-OptionBudget'!$D$14)^(-DK96)</f>
        <v>0.45811152199140021</v>
      </c>
      <c r="DX96" s="174">
        <f t="shared" si="146"/>
        <v>448732.63840744388</v>
      </c>
      <c r="DY96" s="300">
        <f t="shared" si="155"/>
        <v>-106574.21820346732</v>
      </c>
      <c r="DZ96" s="175">
        <f t="shared" si="156"/>
        <v>420823.22742808092</v>
      </c>
      <c r="EB96" s="85"/>
      <c r="EC96" s="88"/>
      <c r="ED96" s="88"/>
      <c r="EE96" s="88"/>
      <c r="EF96" s="88"/>
      <c r="EG96" s="88"/>
      <c r="EH96" s="88"/>
      <c r="EI96" s="88"/>
      <c r="EJ96" s="88"/>
      <c r="EK96" s="88"/>
      <c r="EL96" s="88"/>
      <c r="EM96" s="88"/>
      <c r="EN96" s="88"/>
      <c r="EO96" s="85"/>
      <c r="EP96" s="85"/>
      <c r="EQ96" s="85"/>
    </row>
    <row r="97" spans="1:147" x14ac:dyDescent="0.25">
      <c r="A97" s="137">
        <v>17</v>
      </c>
      <c r="B97" s="319"/>
      <c r="C97" s="320"/>
      <c r="D97" s="88">
        <f t="shared" si="114"/>
        <v>0</v>
      </c>
      <c r="E97" s="88">
        <f t="shared" si="114"/>
        <v>0</v>
      </c>
      <c r="F97" s="88">
        <f t="shared" si="115"/>
        <v>0</v>
      </c>
      <c r="G97" s="320"/>
      <c r="H97" s="88">
        <f t="shared" si="116"/>
        <v>0</v>
      </c>
      <c r="I97" s="320"/>
      <c r="J97" s="88">
        <f t="shared" si="117"/>
        <v>0</v>
      </c>
      <c r="K97" s="320"/>
      <c r="L97" s="88">
        <f t="shared" si="118"/>
        <v>0</v>
      </c>
      <c r="M97" s="318">
        <f>(1+'Table 7-10-OptionBudget'!$D$14)^(-A97)</f>
        <v>0.43629668761085727</v>
      </c>
      <c r="N97" s="174">
        <f t="shared" si="119"/>
        <v>0</v>
      </c>
      <c r="O97" s="85">
        <f t="shared" si="120"/>
        <v>0</v>
      </c>
      <c r="P97" s="175">
        <f t="shared" si="121"/>
        <v>1.4636985340954584E-9</v>
      </c>
      <c r="AH97" s="137">
        <v>17</v>
      </c>
      <c r="AI97" s="319"/>
      <c r="AJ97" s="320"/>
      <c r="AK97" s="88">
        <f t="shared" si="122"/>
        <v>68524.875643886509</v>
      </c>
      <c r="AL97" s="88">
        <f t="shared" si="122"/>
        <v>45.457342719236749</v>
      </c>
      <c r="AM97" s="88">
        <f t="shared" si="122"/>
        <v>0</v>
      </c>
      <c r="AN97" s="321"/>
      <c r="AO97" s="88">
        <f t="shared" si="123"/>
        <v>2780.1767651276928</v>
      </c>
      <c r="AP97" s="321"/>
      <c r="AQ97" s="88">
        <f t="shared" si="124"/>
        <v>13002.834274336841</v>
      </c>
      <c r="AR97" s="320"/>
      <c r="AS97" s="322">
        <f t="shared" si="125"/>
        <v>138839.9469287034</v>
      </c>
      <c r="AT97" s="318">
        <f>(1+'Table 7-10-OptionBudget'!$D$14)^(-AH97)</f>
        <v>0.43629668761085727</v>
      </c>
      <c r="AU97" s="174">
        <f t="shared" si="126"/>
        <v>375876.29655269062</v>
      </c>
      <c r="AV97" s="85">
        <f t="shared" si="127"/>
        <v>-51190.534834930091</v>
      </c>
      <c r="AW97" s="175">
        <f t="shared" si="128"/>
        <v>8.4892791566317675E-10</v>
      </c>
      <c r="AX97" s="75">
        <v>17</v>
      </c>
      <c r="AY97" s="319"/>
      <c r="AZ97" s="320"/>
      <c r="BA97" s="88">
        <f t="shared" si="129"/>
        <v>68784.858390880487</v>
      </c>
      <c r="BB97" s="88">
        <f t="shared" si="129"/>
        <v>0</v>
      </c>
      <c r="BC97" s="88">
        <f t="shared" si="129"/>
        <v>0</v>
      </c>
      <c r="BD97" s="321"/>
      <c r="BE97" s="88">
        <f t="shared" si="130"/>
        <v>2845.5011076108121</v>
      </c>
      <c r="BF97" s="321"/>
      <c r="BG97" s="88">
        <f t="shared" si="131"/>
        <v>13308.354991595625</v>
      </c>
      <c r="BH97" s="320"/>
      <c r="BI97" s="322">
        <f t="shared" si="132"/>
        <v>142102.19570269174</v>
      </c>
      <c r="BJ97" s="318">
        <f>(1+'Table 7-10-OptionBudget'!$D$14)^(-AX97)</f>
        <v>0.43629668761085727</v>
      </c>
      <c r="BK97" s="174">
        <f t="shared" si="133"/>
        <v>383311.42758999381</v>
      </c>
      <c r="BL97" s="300">
        <f t="shared" si="147"/>
        <v>-53907.275058543077</v>
      </c>
      <c r="BM97" s="270">
        <f t="shared" si="148"/>
        <v>-2.5156678368160529E-9</v>
      </c>
      <c r="CE97" s="137">
        <v>17</v>
      </c>
      <c r="CF97" s="319"/>
      <c r="CG97" s="320"/>
      <c r="CH97" s="88">
        <f t="shared" si="134"/>
        <v>0</v>
      </c>
      <c r="CI97" s="88">
        <f t="shared" si="134"/>
        <v>59.88196021058684</v>
      </c>
      <c r="CJ97" s="88">
        <f t="shared" si="134"/>
        <v>0</v>
      </c>
      <c r="CK97" s="321"/>
      <c r="CL97" s="88">
        <f t="shared" si="135"/>
        <v>3970.7030884414735</v>
      </c>
      <c r="CM97" s="321"/>
      <c r="CN97" s="88">
        <f t="shared" si="136"/>
        <v>18570.903425714576</v>
      </c>
      <c r="CO97" s="320"/>
      <c r="CP97" s="322">
        <f t="shared" si="137"/>
        <v>22598.605708896532</v>
      </c>
      <c r="CQ97" s="318">
        <f>(1+'Table 7-10-OptionBudget'!$D$14)^(-CE97)</f>
        <v>0.43629668761085727</v>
      </c>
      <c r="CR97" s="174">
        <f t="shared" si="138"/>
        <v>440681.56847257295</v>
      </c>
      <c r="CS97" s="85">
        <f t="shared" si="139"/>
        <v>-96858.815301015668</v>
      </c>
      <c r="CT97" s="175">
        <f t="shared" si="140"/>
        <v>302208.67641586263</v>
      </c>
      <c r="CU97" s="75">
        <v>17</v>
      </c>
      <c r="CV97" s="319"/>
      <c r="CW97" s="320"/>
      <c r="CX97" s="88">
        <f t="shared" si="141"/>
        <v>0</v>
      </c>
      <c r="CY97" s="88">
        <f t="shared" si="141"/>
        <v>1.1986249756164398</v>
      </c>
      <c r="CZ97" s="88">
        <f t="shared" si="141"/>
        <v>0</v>
      </c>
      <c r="DA97" s="321"/>
      <c r="DB97" s="88">
        <f t="shared" si="142"/>
        <v>3982.2644999367058</v>
      </c>
      <c r="DC97" s="321"/>
      <c r="DD97" s="88">
        <f t="shared" si="143"/>
        <v>18624.975929137934</v>
      </c>
      <c r="DE97" s="320"/>
      <c r="DF97" s="88">
        <f t="shared" si="144"/>
        <v>22608.381351285032</v>
      </c>
      <c r="DG97" s="318">
        <f>(1+'Table 7-10-OptionBudget'!$D$14)^(-CU97)</f>
        <v>0.43629668761085727</v>
      </c>
      <c r="DH97" s="174">
        <f t="shared" si="145"/>
        <v>448999.93807155022</v>
      </c>
      <c r="DI97" s="300">
        <f t="shared" si="149"/>
        <v>-101999.22339380661</v>
      </c>
      <c r="DJ97" s="175">
        <f t="shared" si="150"/>
        <v>317742.07867435116</v>
      </c>
      <c r="DK97" s="75">
        <v>17</v>
      </c>
      <c r="DL97" s="319"/>
      <c r="DM97" s="320"/>
      <c r="DN97" s="88">
        <f t="shared" si="151"/>
        <v>0</v>
      </c>
      <c r="DO97" s="88">
        <f t="shared" si="151"/>
        <v>0</v>
      </c>
      <c r="DP97" s="88">
        <f t="shared" si="151"/>
        <v>0</v>
      </c>
      <c r="DQ97" s="321"/>
      <c r="DR97" s="88">
        <f t="shared" si="152"/>
        <v>3919.9399755615132</v>
      </c>
      <c r="DS97" s="321"/>
      <c r="DT97" s="88">
        <f t="shared" si="153"/>
        <v>18333.485304569578</v>
      </c>
      <c r="DU97" s="320"/>
      <c r="DV97" s="88">
        <f t="shared" si="154"/>
        <v>22253.42528013109</v>
      </c>
      <c r="DW97" s="318">
        <f>(1+'Table 7-10-OptionBudget'!$D$14)^(-DK97)</f>
        <v>0.43629668761085727</v>
      </c>
      <c r="DX97" s="174">
        <f t="shared" si="146"/>
        <v>449626.82511561346</v>
      </c>
      <c r="DY97" s="300">
        <f t="shared" si="155"/>
        <v>-105542.1479517486</v>
      </c>
      <c r="DZ97" s="175">
        <f t="shared" si="156"/>
        <v>328040.44689183153</v>
      </c>
      <c r="EB97" s="85"/>
      <c r="EC97" s="88"/>
      <c r="ED97" s="88"/>
      <c r="EE97" s="88"/>
      <c r="EF97" s="88"/>
      <c r="EG97" s="88"/>
      <c r="EH97" s="88"/>
      <c r="EI97" s="88"/>
      <c r="EJ97" s="88"/>
      <c r="EK97" s="88"/>
      <c r="EL97" s="88"/>
      <c r="EM97" s="88"/>
      <c r="EN97" s="88"/>
      <c r="EO97" s="85"/>
      <c r="EP97" s="85"/>
      <c r="EQ97" s="85"/>
    </row>
    <row r="98" spans="1:147" x14ac:dyDescent="0.25">
      <c r="A98" s="137">
        <v>18</v>
      </c>
      <c r="B98" s="319"/>
      <c r="C98" s="320"/>
      <c r="D98" s="88">
        <f t="shared" si="114"/>
        <v>0</v>
      </c>
      <c r="E98" s="88">
        <f t="shared" si="114"/>
        <v>0</v>
      </c>
      <c r="F98" s="88">
        <f t="shared" si="115"/>
        <v>0</v>
      </c>
      <c r="G98" s="320"/>
      <c r="H98" s="88">
        <f t="shared" si="116"/>
        <v>0</v>
      </c>
      <c r="I98" s="320"/>
      <c r="J98" s="88">
        <f t="shared" si="117"/>
        <v>0</v>
      </c>
      <c r="K98" s="320"/>
      <c r="L98" s="88">
        <f t="shared" si="118"/>
        <v>0</v>
      </c>
      <c r="M98" s="318">
        <f>(1+'Table 7-10-OptionBudget'!$D$14)^(-A98)</f>
        <v>0.41552065486748313</v>
      </c>
      <c r="N98" s="174">
        <f t="shared" si="119"/>
        <v>0</v>
      </c>
      <c r="O98" s="85">
        <f t="shared" si="120"/>
        <v>0</v>
      </c>
      <c r="P98" s="175">
        <f t="shared" si="121"/>
        <v>1.5029921001637576E-9</v>
      </c>
      <c r="AH98" s="137">
        <v>18</v>
      </c>
      <c r="AI98" s="319"/>
      <c r="AJ98" s="320"/>
      <c r="AK98" s="88">
        <f t="shared" si="122"/>
        <v>120053.20646361672</v>
      </c>
      <c r="AL98" s="88">
        <f t="shared" si="122"/>
        <v>3003.7294256221489</v>
      </c>
      <c r="AM98" s="88">
        <f t="shared" si="122"/>
        <v>0</v>
      </c>
      <c r="AN98" s="321"/>
      <c r="AO98" s="88">
        <f t="shared" si="123"/>
        <v>1806.1422599201178</v>
      </c>
      <c r="AP98" s="321"/>
      <c r="AQ98" s="88">
        <f t="shared" si="124"/>
        <v>7696.1081157112285</v>
      </c>
      <c r="AR98" s="320"/>
      <c r="AS98" s="322">
        <f t="shared" si="125"/>
        <v>138864.4348436716</v>
      </c>
      <c r="AT98" s="318">
        <f>(1+'Table 7-10-OptionBudget'!$D$14)^(-AH98)</f>
        <v>0.41552065486748313</v>
      </c>
      <c r="AU98" s="174">
        <f t="shared" si="126"/>
        <v>306888.25070492458</v>
      </c>
      <c r="AV98" s="85">
        <f t="shared" si="127"/>
        <v>-7.7059492468833929E-12</v>
      </c>
      <c r="AW98" s="175">
        <f t="shared" si="128"/>
        <v>8.6024696481339852E-10</v>
      </c>
      <c r="AX98" s="75">
        <v>18</v>
      </c>
      <c r="AY98" s="319"/>
      <c r="AZ98" s="320"/>
      <c r="BA98" s="88">
        <f t="shared" si="129"/>
        <v>122874.03313679615</v>
      </c>
      <c r="BB98" s="88">
        <f t="shared" si="129"/>
        <v>3074.3064666891592</v>
      </c>
      <c r="BC98" s="88">
        <f t="shared" si="129"/>
        <v>0</v>
      </c>
      <c r="BD98" s="321"/>
      <c r="BE98" s="88">
        <f t="shared" si="130"/>
        <v>1848.5802289874684</v>
      </c>
      <c r="BF98" s="321"/>
      <c r="BG98" s="88">
        <f t="shared" si="131"/>
        <v>7876.9394961629478</v>
      </c>
      <c r="BH98" s="320"/>
      <c r="BI98" s="322">
        <f t="shared" si="132"/>
        <v>142127.25899724165</v>
      </c>
      <c r="BJ98" s="318">
        <f>(1+'Table 7-10-OptionBudget'!$D$14)^(-AX98)</f>
        <v>0.41552065486748313</v>
      </c>
      <c r="BK98" s="174">
        <f t="shared" si="133"/>
        <v>314099.04155986256</v>
      </c>
      <c r="BL98" s="300">
        <f t="shared" si="147"/>
        <v>-8.4064900875091556E-12</v>
      </c>
      <c r="BM98" s="270">
        <f t="shared" si="148"/>
        <v>-2.5847999355181511E-9</v>
      </c>
      <c r="CE98" s="137">
        <v>18</v>
      </c>
      <c r="CF98" s="319"/>
      <c r="CG98" s="320"/>
      <c r="CH98" s="88">
        <f t="shared" si="134"/>
        <v>0</v>
      </c>
      <c r="CI98" s="88">
        <f t="shared" si="134"/>
        <v>56.999194740481698</v>
      </c>
      <c r="CJ98" s="88">
        <f t="shared" si="134"/>
        <v>0</v>
      </c>
      <c r="CK98" s="321"/>
      <c r="CL98" s="88">
        <f t="shared" si="135"/>
        <v>4352.4927854139314</v>
      </c>
      <c r="CM98" s="321"/>
      <c r="CN98" s="88">
        <f t="shared" si="136"/>
        <v>18546.299365632614</v>
      </c>
      <c r="CO98" s="320"/>
      <c r="CP98" s="322">
        <f t="shared" si="137"/>
        <v>22953.002489186765</v>
      </c>
      <c r="CQ98" s="318">
        <f>(1+'Table 7-10-OptionBudget'!$D$14)^(-CE98)</f>
        <v>0.41552065486748313</v>
      </c>
      <c r="CR98" s="174">
        <f t="shared" si="138"/>
        <v>440111.16432382452</v>
      </c>
      <c r="CS98" s="85">
        <f t="shared" si="139"/>
        <v>-96298.728817086376</v>
      </c>
      <c r="CT98" s="175">
        <f t="shared" si="140"/>
        <v>214934.48255920658</v>
      </c>
      <c r="CU98" s="75">
        <v>18</v>
      </c>
      <c r="CV98" s="319"/>
      <c r="CW98" s="320"/>
      <c r="CX98" s="88">
        <f t="shared" si="141"/>
        <v>0</v>
      </c>
      <c r="CY98" s="88">
        <f t="shared" si="141"/>
        <v>1.1409222103907268</v>
      </c>
      <c r="CZ98" s="88">
        <f t="shared" si="141"/>
        <v>0</v>
      </c>
      <c r="DA98" s="321"/>
      <c r="DB98" s="88">
        <f t="shared" si="142"/>
        <v>4391.607612405388</v>
      </c>
      <c r="DC98" s="321"/>
      <c r="DD98" s="88">
        <f t="shared" si="143"/>
        <v>18712.970587569969</v>
      </c>
      <c r="DE98" s="320"/>
      <c r="DF98" s="88">
        <f t="shared" si="144"/>
        <v>23105.663299143838</v>
      </c>
      <c r="DG98" s="318">
        <f>(1+'Table 7-10-OptionBudget'!$D$14)^(-CU98)</f>
        <v>0.41552065486748313</v>
      </c>
      <c r="DH98" s="174">
        <f t="shared" si="145"/>
        <v>448841.43598982878</v>
      </c>
      <c r="DI98" s="300">
        <f t="shared" si="149"/>
        <v>-101409.41247967746</v>
      </c>
      <c r="DJ98" s="175">
        <f t="shared" si="150"/>
        <v>226122.82222958005</v>
      </c>
      <c r="DK98" s="75">
        <v>18</v>
      </c>
      <c r="DL98" s="319"/>
      <c r="DM98" s="320"/>
      <c r="DN98" s="88">
        <f t="shared" si="151"/>
        <v>0</v>
      </c>
      <c r="DO98" s="88">
        <f t="shared" si="151"/>
        <v>0</v>
      </c>
      <c r="DP98" s="88">
        <f t="shared" si="151"/>
        <v>0</v>
      </c>
      <c r="DQ98" s="321"/>
      <c r="DR98" s="88">
        <f t="shared" si="152"/>
        <v>4350.8471069832058</v>
      </c>
      <c r="DS98" s="321"/>
      <c r="DT98" s="88">
        <f t="shared" si="153"/>
        <v>18539.287005971019</v>
      </c>
      <c r="DU98" s="320"/>
      <c r="DV98" s="88">
        <f t="shared" si="154"/>
        <v>22890.134112954223</v>
      </c>
      <c r="DW98" s="318">
        <f>(1+'Table 7-10-OptionBudget'!$D$14)^(-DK98)</f>
        <v>0.41552065486748313</v>
      </c>
      <c r="DX98" s="174">
        <f t="shared" si="146"/>
        <v>449854.74109126313</v>
      </c>
      <c r="DY98" s="300">
        <f t="shared" si="155"/>
        <v>-104931.85006230063</v>
      </c>
      <c r="DZ98" s="175">
        <f t="shared" si="156"/>
        <v>233657.53781972121</v>
      </c>
      <c r="EB98" s="85"/>
      <c r="EC98" s="88"/>
      <c r="ED98" s="88"/>
      <c r="EE98" s="88"/>
      <c r="EF98" s="88"/>
      <c r="EG98" s="88"/>
      <c r="EH98" s="88"/>
      <c r="EI98" s="88"/>
      <c r="EJ98" s="88"/>
      <c r="EK98" s="88"/>
      <c r="EL98" s="88"/>
      <c r="EM98" s="88"/>
      <c r="EN98" s="88"/>
      <c r="EO98" s="85"/>
      <c r="EP98" s="85"/>
      <c r="EQ98" s="85"/>
    </row>
    <row r="99" spans="1:147" x14ac:dyDescent="0.25">
      <c r="A99" s="137">
        <v>19</v>
      </c>
      <c r="B99" s="319"/>
      <c r="C99" s="320"/>
      <c r="D99" s="88">
        <f t="shared" si="114"/>
        <v>0</v>
      </c>
      <c r="E99" s="88">
        <f t="shared" si="114"/>
        <v>0</v>
      </c>
      <c r="F99" s="88">
        <f t="shared" si="115"/>
        <v>0</v>
      </c>
      <c r="G99" s="320"/>
      <c r="H99" s="88">
        <f t="shared" si="116"/>
        <v>0</v>
      </c>
      <c r="I99" s="320"/>
      <c r="J99" s="88">
        <f t="shared" si="117"/>
        <v>0</v>
      </c>
      <c r="K99" s="320"/>
      <c r="L99" s="88">
        <f t="shared" si="118"/>
        <v>0</v>
      </c>
      <c r="M99" s="318">
        <f>(1+'Table 7-10-OptionBudget'!$D$14)^(-A99)</f>
        <v>0.39573395701665059</v>
      </c>
      <c r="N99" s="174">
        <f t="shared" si="119"/>
        <v>0</v>
      </c>
      <c r="O99" s="85">
        <f t="shared" si="120"/>
        <v>0</v>
      </c>
      <c r="P99" s="175">
        <f t="shared" si="121"/>
        <v>1.5433405175545104E-9</v>
      </c>
      <c r="AH99" s="137">
        <v>19</v>
      </c>
      <c r="AI99" s="319"/>
      <c r="AJ99" s="320"/>
      <c r="AK99" s="88">
        <f t="shared" si="122"/>
        <v>126505.42151575495</v>
      </c>
      <c r="AL99" s="88">
        <f t="shared" si="122"/>
        <v>2856.762952285309</v>
      </c>
      <c r="AM99" s="88">
        <f t="shared" si="122"/>
        <v>0</v>
      </c>
      <c r="AN99" s="321"/>
      <c r="AO99" s="88">
        <f t="shared" si="123"/>
        <v>581.17428094403954</v>
      </c>
      <c r="AP99" s="321"/>
      <c r="AQ99" s="88">
        <f t="shared" si="124"/>
        <v>2251.4077486997708</v>
      </c>
      <c r="AR99" s="320"/>
      <c r="AS99" s="322">
        <f t="shared" si="125"/>
        <v>56866.36799843816</v>
      </c>
      <c r="AT99" s="318">
        <f>(1+'Table 7-10-OptionBudget'!$D$14)^(-AH99)</f>
        <v>0.39573395701665059</v>
      </c>
      <c r="AU99" s="174">
        <f t="shared" si="126"/>
        <v>183520.63018083863</v>
      </c>
      <c r="AV99" s="85">
        <f t="shared" si="127"/>
        <v>-7.4549205064773551E-12</v>
      </c>
      <c r="AW99" s="175">
        <f t="shared" si="128"/>
        <v>8.7205310345014785E-10</v>
      </c>
      <c r="AX99" s="75">
        <v>19</v>
      </c>
      <c r="AY99" s="319"/>
      <c r="AZ99" s="320"/>
      <c r="BA99" s="88">
        <f t="shared" si="129"/>
        <v>129477.85247220423</v>
      </c>
      <c r="BB99" s="88">
        <f t="shared" si="129"/>
        <v>2923.8867998869928</v>
      </c>
      <c r="BC99" s="88">
        <f t="shared" si="129"/>
        <v>0</v>
      </c>
      <c r="BD99" s="321"/>
      <c r="BE99" s="88">
        <f t="shared" si="130"/>
        <v>594.82982552917838</v>
      </c>
      <c r="BF99" s="321"/>
      <c r="BG99" s="88">
        <f t="shared" si="131"/>
        <v>2304.3078853709203</v>
      </c>
      <c r="BH99" s="320"/>
      <c r="BI99" s="322">
        <f t="shared" si="132"/>
        <v>58202.526959802046</v>
      </c>
      <c r="BJ99" s="318">
        <f>(1+'Table 7-10-OptionBudget'!$D$14)^(-AX99)</f>
        <v>0.39573395701665059</v>
      </c>
      <c r="BK99" s="174">
        <f t="shared" si="133"/>
        <v>187832.71732904567</v>
      </c>
      <c r="BL99" s="300">
        <f t="shared" si="147"/>
        <v>-8.1326405525207516E-12</v>
      </c>
      <c r="BM99" s="270">
        <f t="shared" si="148"/>
        <v>-2.6553500426517981E-9</v>
      </c>
      <c r="CE99" s="137">
        <v>19</v>
      </c>
      <c r="CF99" s="319"/>
      <c r="CG99" s="320"/>
      <c r="CH99" s="88">
        <f t="shared" si="134"/>
        <v>0</v>
      </c>
      <c r="CI99" s="88">
        <f t="shared" si="134"/>
        <v>54.210338140218482</v>
      </c>
      <c r="CJ99" s="88">
        <f t="shared" si="134"/>
        <v>0</v>
      </c>
      <c r="CK99" s="321"/>
      <c r="CL99" s="88">
        <f t="shared" si="135"/>
        <v>4753.9252515030457</v>
      </c>
      <c r="CM99" s="321"/>
      <c r="CN99" s="88">
        <f t="shared" si="136"/>
        <v>18416.20405257411</v>
      </c>
      <c r="CO99" s="320"/>
      <c r="CP99" s="322">
        <f t="shared" si="137"/>
        <v>23221.639360222205</v>
      </c>
      <c r="CQ99" s="318">
        <f>(1+'Table 7-10-OptionBudget'!$D$14)^(-CE99)</f>
        <v>0.39573395701665059</v>
      </c>
      <c r="CR99" s="174">
        <f t="shared" si="138"/>
        <v>439158.0812344916</v>
      </c>
      <c r="CS99" s="85">
        <f t="shared" si="139"/>
        <v>-96027.972112062111</v>
      </c>
      <c r="CT99" s="175">
        <f t="shared" si="140"/>
        <v>126170.49528194289</v>
      </c>
      <c r="CU99" s="75">
        <v>19</v>
      </c>
      <c r="CV99" s="319"/>
      <c r="CW99" s="320"/>
      <c r="CX99" s="88">
        <f t="shared" si="141"/>
        <v>0</v>
      </c>
      <c r="CY99" s="88">
        <f t="shared" si="141"/>
        <v>1.0850991684806104</v>
      </c>
      <c r="CZ99" s="88">
        <f t="shared" si="141"/>
        <v>0</v>
      </c>
      <c r="DA99" s="321"/>
      <c r="DB99" s="88">
        <f t="shared" si="142"/>
        <v>4825.2496498177334</v>
      </c>
      <c r="DC99" s="321"/>
      <c r="DD99" s="88">
        <f t="shared" si="143"/>
        <v>18692.507234428951</v>
      </c>
      <c r="DE99" s="320"/>
      <c r="DF99" s="88">
        <f t="shared" si="144"/>
        <v>23518.787933323463</v>
      </c>
      <c r="DG99" s="318">
        <f>(1+'Table 7-10-OptionBudget'!$D$14)^(-CU99)</f>
        <v>0.39573395701665059</v>
      </c>
      <c r="DH99" s="174">
        <f t="shared" si="145"/>
        <v>448177.73162102391</v>
      </c>
      <c r="DI99" s="300">
        <f t="shared" si="149"/>
        <v>-101124.28640668851</v>
      </c>
      <c r="DJ99" s="175">
        <f t="shared" si="150"/>
        <v>132818.10130152784</v>
      </c>
      <c r="DK99" s="75">
        <v>19</v>
      </c>
      <c r="DL99" s="319"/>
      <c r="DM99" s="320"/>
      <c r="DN99" s="88">
        <f t="shared" si="151"/>
        <v>0</v>
      </c>
      <c r="DO99" s="88">
        <f t="shared" si="151"/>
        <v>0</v>
      </c>
      <c r="DP99" s="88">
        <f t="shared" si="151"/>
        <v>0</v>
      </c>
      <c r="DQ99" s="321"/>
      <c r="DR99" s="88">
        <f t="shared" si="152"/>
        <v>4810.5377161462229</v>
      </c>
      <c r="DS99" s="321"/>
      <c r="DT99" s="88">
        <f t="shared" si="153"/>
        <v>18635.514758071266</v>
      </c>
      <c r="DU99" s="320"/>
      <c r="DV99" s="88">
        <f t="shared" si="154"/>
        <v>23446.052474217489</v>
      </c>
      <c r="DW99" s="318">
        <f>(1+'Table 7-10-OptionBudget'!$D$14)^(-DK99)</f>
        <v>0.39573395701665059</v>
      </c>
      <c r="DX99" s="174">
        <f t="shared" si="146"/>
        <v>449457.34403287206</v>
      </c>
      <c r="DY99" s="300">
        <f t="shared" si="155"/>
        <v>-104636.82018678759</v>
      </c>
      <c r="DZ99" s="175">
        <f t="shared" si="156"/>
        <v>137360.65236597348</v>
      </c>
      <c r="EB99" s="85"/>
      <c r="EC99" s="88"/>
      <c r="ED99" s="88"/>
      <c r="EE99" s="88"/>
      <c r="EF99" s="88"/>
      <c r="EG99" s="88"/>
      <c r="EH99" s="88"/>
      <c r="EI99" s="88"/>
      <c r="EJ99" s="88"/>
      <c r="EK99" s="88"/>
      <c r="EL99" s="88"/>
      <c r="EM99" s="88"/>
      <c r="EN99" s="88"/>
      <c r="EO99" s="85"/>
      <c r="EP99" s="85"/>
      <c r="EQ99" s="85"/>
    </row>
    <row r="100" spans="1:147" x14ac:dyDescent="0.25">
      <c r="A100" s="137">
        <v>20</v>
      </c>
      <c r="B100" s="319"/>
      <c r="C100" s="320"/>
      <c r="D100" s="88">
        <f t="shared" si="114"/>
        <v>0</v>
      </c>
      <c r="E100" s="88">
        <f t="shared" si="114"/>
        <v>0</v>
      </c>
      <c r="F100" s="88">
        <f t="shared" si="115"/>
        <v>0</v>
      </c>
      <c r="G100" s="320"/>
      <c r="H100" s="88">
        <f t="shared" si="116"/>
        <v>0</v>
      </c>
      <c r="I100" s="320"/>
      <c r="J100" s="88">
        <f t="shared" si="117"/>
        <v>0</v>
      </c>
      <c r="K100" s="320"/>
      <c r="L100" s="88">
        <f t="shared" si="118"/>
        <v>0</v>
      </c>
      <c r="M100" s="318">
        <f>(1+'Table 7-10-OptionBudget'!$D$14)^(-A100)</f>
        <v>0.37688948287300061</v>
      </c>
      <c r="N100" s="174">
        <f>(H100+J100)*(M100/M99)+(D100+E100)</f>
        <v>0</v>
      </c>
      <c r="O100" s="85">
        <f t="shared" si="120"/>
        <v>0</v>
      </c>
      <c r="P100" s="175">
        <f t="shared" si="121"/>
        <v>1.5847721041686817E-9</v>
      </c>
      <c r="AH100" s="137">
        <v>20</v>
      </c>
      <c r="AI100" s="319"/>
      <c r="AJ100" s="320"/>
      <c r="AK100" s="88">
        <f t="shared" si="122"/>
        <v>51319.321807277913</v>
      </c>
      <c r="AL100" s="88">
        <f t="shared" si="122"/>
        <v>2714.4641615164355</v>
      </c>
      <c r="AM100" s="88">
        <f t="shared" si="122"/>
        <v>0</v>
      </c>
      <c r="AN100" s="321"/>
      <c r="AO100" s="88">
        <f t="shared" si="123"/>
        <v>1.7251453985766669E-12</v>
      </c>
      <c r="AP100" s="321"/>
      <c r="AQ100" s="88">
        <f t="shared" si="124"/>
        <v>1.5162111225268262E-10</v>
      </c>
      <c r="AR100" s="320"/>
      <c r="AS100" s="322">
        <f t="shared" si="125"/>
        <v>1.533462576512593E-10</v>
      </c>
      <c r="AT100" s="318">
        <f>(1+'Table 7-10-OptionBudget'!$D$14)^(-AH100)</f>
        <v>0.37688948287300061</v>
      </c>
      <c r="AU100" s="174">
        <f>(AO100+AQ100)*(AT100/AT99)+(AK100+AL100)</f>
        <v>54033.785968794495</v>
      </c>
      <c r="AV100" s="85">
        <f t="shared" si="127"/>
        <v>-7.2181508425968926E-12</v>
      </c>
      <c r="AW100" s="175">
        <f t="shared" si="128"/>
        <v>7.5364643777920663E-10</v>
      </c>
      <c r="AX100" s="75">
        <v>20</v>
      </c>
      <c r="AY100" s="319"/>
      <c r="AZ100" s="320"/>
      <c r="BA100" s="88">
        <f t="shared" si="129"/>
        <v>52525.144759181479</v>
      </c>
      <c r="BB100" s="88">
        <f t="shared" si="129"/>
        <v>2778.2444897204614</v>
      </c>
      <c r="BC100" s="88">
        <f t="shared" si="129"/>
        <v>0</v>
      </c>
      <c r="BD100" s="321"/>
      <c r="BE100" s="88">
        <f t="shared" si="130"/>
        <v>1.7480330332770783E-12</v>
      </c>
      <c r="BF100" s="321"/>
      <c r="BG100" s="88">
        <f t="shared" si="131"/>
        <v>1.5363268103579658E-10</v>
      </c>
      <c r="BH100" s="320"/>
      <c r="BI100" s="322">
        <f t="shared" si="132"/>
        <v>1.5538071406907366E-10</v>
      </c>
      <c r="BJ100" s="318">
        <f>(1+'Table 7-10-OptionBudget'!$D$14)^(-AX100)</f>
        <v>0.37688948287300061</v>
      </c>
      <c r="BK100" s="174">
        <f>(BE100+BG100)*(BJ100/BJ99)+(BA100+BB100)</f>
        <v>55303.389248902087</v>
      </c>
      <c r="BL100" s="300">
        <f t="shared" si="147"/>
        <v>-7.8743463737420653E-12</v>
      </c>
      <c r="BM100" s="270">
        <f t="shared" si="148"/>
        <v>-2.8699459953603241E-9</v>
      </c>
      <c r="CE100" s="137">
        <v>20</v>
      </c>
      <c r="CF100" s="319"/>
      <c r="CG100" s="320"/>
      <c r="CH100" s="88">
        <f t="shared" si="134"/>
        <v>0</v>
      </c>
      <c r="CI100" s="88">
        <f t="shared" si="134"/>
        <v>51.510056145048793</v>
      </c>
      <c r="CJ100" s="88">
        <f t="shared" si="134"/>
        <v>0</v>
      </c>
      <c r="CK100" s="321"/>
      <c r="CL100" s="88">
        <f t="shared" si="135"/>
        <v>5171.9545837686846</v>
      </c>
      <c r="CM100" s="321"/>
      <c r="CN100" s="88">
        <f t="shared" si="136"/>
        <v>454557.34175122547</v>
      </c>
      <c r="CO100" s="320"/>
      <c r="CP100" s="322">
        <f t="shared" si="137"/>
        <v>459729.29633499414</v>
      </c>
      <c r="CQ100" s="318">
        <f>(1+'Table 7-10-OptionBudget'!$D$14)^(-CE100)</f>
        <v>0.37688948287300061</v>
      </c>
      <c r="CR100" s="174">
        <f>(CL100+CN100)*(CQ100/CQ99)+(CH100+CI100)</f>
        <v>437888.9351370919</v>
      </c>
      <c r="CS100" s="85">
        <f t="shared" si="139"/>
        <v>-96007.983306651469</v>
      </c>
      <c r="CT100" s="175">
        <f t="shared" si="140"/>
        <v>-3.485183697193861E-9</v>
      </c>
      <c r="CU100" s="75">
        <v>20</v>
      </c>
      <c r="CV100" s="319"/>
      <c r="CW100" s="320"/>
      <c r="CX100" s="88">
        <f t="shared" si="141"/>
        <v>0</v>
      </c>
      <c r="CY100" s="88">
        <f t="shared" si="141"/>
        <v>1.0310490767799365</v>
      </c>
      <c r="CZ100" s="88">
        <f t="shared" si="141"/>
        <v>0</v>
      </c>
      <c r="DA100" s="321"/>
      <c r="DB100" s="88">
        <f t="shared" si="142"/>
        <v>5280.975286429004</v>
      </c>
      <c r="DC100" s="321"/>
      <c r="DD100" s="88">
        <f t="shared" si="143"/>
        <v>464139.05017392698</v>
      </c>
      <c r="DE100" s="320"/>
      <c r="DF100" s="88">
        <f t="shared" si="144"/>
        <v>469420.02546035597</v>
      </c>
      <c r="DG100" s="318">
        <f>(1+'Table 7-10-OptionBudget'!$D$14)^(-CU100)</f>
        <v>0.37688948287300061</v>
      </c>
      <c r="DH100" s="174">
        <f>(DB100+DD100)*(DG100/DG99)+(CX100+CY100)</f>
        <v>447067.7219637016</v>
      </c>
      <c r="DI100" s="300">
        <f t="shared" si="149"/>
        <v>-101103.23677251613</v>
      </c>
      <c r="DJ100" s="175">
        <f t="shared" si="150"/>
        <v>-3.0995579436421394E-9</v>
      </c>
      <c r="DK100" s="75">
        <v>20</v>
      </c>
      <c r="DL100" s="319"/>
      <c r="DM100" s="320"/>
      <c r="DN100" s="88">
        <f t="shared" si="151"/>
        <v>0</v>
      </c>
      <c r="DO100" s="88">
        <f t="shared" si="151"/>
        <v>0</v>
      </c>
      <c r="DP100" s="88">
        <f t="shared" si="151"/>
        <v>0</v>
      </c>
      <c r="DQ100" s="321"/>
      <c r="DR100" s="88">
        <f t="shared" si="152"/>
        <v>5297.7191253560213</v>
      </c>
      <c r="DS100" s="321"/>
      <c r="DT100" s="88">
        <f t="shared" si="153"/>
        <v>465610.64757295704</v>
      </c>
      <c r="DU100" s="320"/>
      <c r="DV100" s="88">
        <f t="shared" si="154"/>
        <v>470908.36669831304</v>
      </c>
      <c r="DW100" s="318">
        <f>(1+'Table 7-10-OptionBudget'!$D$14)^(-DK100)</f>
        <v>0.37688948287300061</v>
      </c>
      <c r="DX100" s="174">
        <f>(DR100+DT100)*(DW100/DW99)+(DN100+DO100)</f>
        <v>448484.15876029822</v>
      </c>
      <c r="DY100" s="300">
        <f t="shared" si="155"/>
        <v>-104615.03939738317</v>
      </c>
      <c r="DZ100" s="175">
        <f t="shared" si="156"/>
        <v>0</v>
      </c>
    </row>
    <row r="101" spans="1:147" ht="15.75" thickBot="1" x14ac:dyDescent="0.3">
      <c r="A101" s="139"/>
      <c r="B101" s="122"/>
      <c r="C101" s="122"/>
      <c r="D101" s="122"/>
      <c r="E101" s="122"/>
      <c r="F101" s="122"/>
      <c r="G101" s="122"/>
      <c r="H101" s="122"/>
      <c r="I101" s="122"/>
      <c r="J101" s="122"/>
      <c r="K101" s="305"/>
      <c r="L101" s="122"/>
      <c r="M101" s="122"/>
      <c r="N101" s="122"/>
      <c r="O101" s="176">
        <f t="shared" si="120"/>
        <v>0</v>
      </c>
      <c r="P101" s="305"/>
      <c r="AH101" s="139"/>
      <c r="AI101" s="122"/>
      <c r="AJ101" s="122"/>
      <c r="AK101" s="122"/>
      <c r="AL101" s="122"/>
      <c r="AM101" s="122"/>
      <c r="AN101" s="122"/>
      <c r="AO101" s="122"/>
      <c r="AP101" s="122"/>
      <c r="AQ101" s="122"/>
      <c r="AR101" s="122"/>
      <c r="AS101" s="139"/>
      <c r="AT101" s="122"/>
      <c r="AU101" s="122"/>
      <c r="AV101" s="176">
        <f t="shared" si="127"/>
        <v>-1.3769204691607774E-10</v>
      </c>
      <c r="AW101" s="305"/>
      <c r="AX101" s="122"/>
      <c r="AY101" s="122"/>
      <c r="AZ101" s="122"/>
      <c r="BA101" s="122"/>
      <c r="BB101" s="122"/>
      <c r="BC101" s="122"/>
      <c r="BD101" s="122"/>
      <c r="BE101" s="122"/>
      <c r="BF101" s="122"/>
      <c r="BG101" s="122"/>
      <c r="BH101" s="122"/>
      <c r="BI101" s="139"/>
      <c r="BJ101" s="122"/>
      <c r="BK101" s="122"/>
      <c r="BL101" s="323">
        <f t="shared" si="147"/>
        <v>-1.5020950572663025E-10</v>
      </c>
      <c r="BM101" s="305"/>
      <c r="CE101" s="139"/>
      <c r="CF101" s="122"/>
      <c r="CG101" s="122"/>
      <c r="CH101" s="122"/>
      <c r="CI101" s="122"/>
      <c r="CJ101" s="122"/>
      <c r="CK101" s="122"/>
      <c r="CL101" s="122"/>
      <c r="CM101" s="122"/>
      <c r="CN101" s="122"/>
      <c r="CO101" s="122"/>
      <c r="CP101" s="139"/>
      <c r="CQ101" s="324"/>
      <c r="CR101" s="122"/>
      <c r="CS101" s="176">
        <f t="shared" si="139"/>
        <v>-37575.628465946749</v>
      </c>
      <c r="CT101" s="177"/>
      <c r="CU101" s="122"/>
      <c r="CV101" s="122"/>
      <c r="CW101" s="122"/>
      <c r="CX101" s="122"/>
      <c r="CY101" s="122"/>
      <c r="CZ101" s="122"/>
      <c r="DA101" s="122"/>
      <c r="DB101" s="122"/>
      <c r="DC101" s="122"/>
      <c r="DD101" s="122"/>
      <c r="DE101" s="122"/>
      <c r="DF101" s="122"/>
      <c r="DG101" s="122"/>
      <c r="DH101" s="122"/>
      <c r="DI101" s="176">
        <f t="shared" si="149"/>
        <v>-39569.810038969081</v>
      </c>
      <c r="DJ101" s="177">
        <f t="shared" si="150"/>
        <v>-3.1674255644150349E-9</v>
      </c>
      <c r="DK101" s="122"/>
      <c r="DL101" s="122"/>
      <c r="DM101" s="122"/>
      <c r="DN101" s="122"/>
      <c r="DO101" s="122"/>
      <c r="DP101" s="122"/>
      <c r="DQ101" s="122"/>
      <c r="DR101" s="122"/>
      <c r="DS101" s="122"/>
      <c r="DT101" s="122"/>
      <c r="DU101" s="122"/>
      <c r="DV101" s="122"/>
      <c r="DW101" s="122"/>
      <c r="DX101" s="122"/>
      <c r="DY101" s="176">
        <f t="shared" si="155"/>
        <v>-40944.260226681756</v>
      </c>
      <c r="DZ101" s="177">
        <f t="shared" si="156"/>
        <v>0</v>
      </c>
    </row>
  </sheetData>
  <mergeCells count="44">
    <mergeCell ref="A73:P73"/>
    <mergeCell ref="A74:P74"/>
    <mergeCell ref="DK73:DZ73"/>
    <mergeCell ref="DK74:DZ74"/>
    <mergeCell ref="AH73:AW73"/>
    <mergeCell ref="AH74:AW74"/>
    <mergeCell ref="AX73:BM73"/>
    <mergeCell ref="AX74:BM74"/>
    <mergeCell ref="CE73:CT73"/>
    <mergeCell ref="CE74:CT74"/>
    <mergeCell ref="CU73:DJ73"/>
    <mergeCell ref="CU74:DJ74"/>
    <mergeCell ref="CE41:CO41"/>
    <mergeCell ref="CU41:DE41"/>
    <mergeCell ref="DK41:DU41"/>
    <mergeCell ref="R42:AB42"/>
    <mergeCell ref="AH42:AR42"/>
    <mergeCell ref="AX42:BH42"/>
    <mergeCell ref="BO42:BY42"/>
    <mergeCell ref="CE42:CO42"/>
    <mergeCell ref="CU42:DE42"/>
    <mergeCell ref="DK42:DU42"/>
    <mergeCell ref="BO41:BY41"/>
    <mergeCell ref="A41:K41"/>
    <mergeCell ref="A42:K42"/>
    <mergeCell ref="R41:AB41"/>
    <mergeCell ref="AH41:AR41"/>
    <mergeCell ref="AX41:BH41"/>
    <mergeCell ref="DK10:DU10"/>
    <mergeCell ref="DK11:DU11"/>
    <mergeCell ref="CE10:CO10"/>
    <mergeCell ref="CE11:CO11"/>
    <mergeCell ref="BO10:BY10"/>
    <mergeCell ref="BO11:BY11"/>
    <mergeCell ref="AX10:BH10"/>
    <mergeCell ref="AX11:BH11"/>
    <mergeCell ref="CU10:DE10"/>
    <mergeCell ref="CU11:DE11"/>
    <mergeCell ref="A10:K10"/>
    <mergeCell ref="A11:K11"/>
    <mergeCell ref="R10:AB10"/>
    <mergeCell ref="R11:AB11"/>
    <mergeCell ref="AH10:AR10"/>
    <mergeCell ref="AH11:AR11"/>
  </mergeCells>
  <conditionalFormatting sqref="CT80">
    <cfRule type="containsText" dxfId="1" priority="1" operator="containsText" text="FALSE">
      <formula>NOT(ISERROR(SEARCH("FALSE",CT80)))</formula>
    </cfRule>
    <cfRule type="containsText" dxfId="0" priority="2" operator="containsText" text="TRUE">
      <formula>NOT(ISERROR(SEARCH("TRUE",CT80)))</formula>
    </cfRule>
  </conditionalFormatting>
  <pageMargins left="0.75" right="0.75" top="1" bottom="1" header="0.5" footer="0.5"/>
  <pageSetup orientation="portrait" horizontalDpi="1200"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9BED7-1DBA-4A01-94C6-489C60A5A141}">
  <dimension ref="A1:F13"/>
  <sheetViews>
    <sheetView showGridLines="0" workbookViewId="0">
      <selection activeCell="W39" sqref="W39"/>
    </sheetView>
  </sheetViews>
  <sheetFormatPr defaultColWidth="8.7109375" defaultRowHeight="15" x14ac:dyDescent="0.25"/>
  <cols>
    <col min="1" max="1" width="8.7109375" style="75"/>
    <col min="2" max="5" width="10.5703125" style="75" bestFit="1" customWidth="1"/>
    <col min="6" max="6" width="14.5703125" style="75" bestFit="1" customWidth="1"/>
    <col min="7" max="16384" width="8.7109375" style="75"/>
  </cols>
  <sheetData>
    <row r="1" spans="1:6" x14ac:dyDescent="0.25">
      <c r="A1" s="76" t="s">
        <v>368</v>
      </c>
    </row>
    <row r="2" spans="1:6" x14ac:dyDescent="0.25">
      <c r="A2" s="45" t="s">
        <v>369</v>
      </c>
    </row>
    <row r="3" spans="1:6" x14ac:dyDescent="0.25">
      <c r="A3" s="78" t="s">
        <v>370</v>
      </c>
    </row>
    <row r="4" spans="1:6" x14ac:dyDescent="0.25">
      <c r="A4" s="79" t="s">
        <v>379</v>
      </c>
    </row>
    <row r="5" spans="1:6" ht="15.75" thickBot="1" x14ac:dyDescent="0.3"/>
    <row r="6" spans="1:6" x14ac:dyDescent="0.25">
      <c r="A6" s="431" t="s">
        <v>343</v>
      </c>
      <c r="B6" s="432"/>
      <c r="C6" s="432"/>
      <c r="D6" s="432"/>
      <c r="E6" s="432"/>
      <c r="F6" s="433"/>
    </row>
    <row r="7" spans="1:6" ht="15.75" thickBot="1" x14ac:dyDescent="0.3">
      <c r="A7" s="434" t="s">
        <v>216</v>
      </c>
      <c r="B7" s="435"/>
      <c r="C7" s="435"/>
      <c r="D7" s="435"/>
      <c r="E7" s="435"/>
      <c r="F7" s="436"/>
    </row>
    <row r="8" spans="1:6" x14ac:dyDescent="0.25">
      <c r="A8" s="307">
        <v>-1</v>
      </c>
      <c r="B8" s="307">
        <f>A8-1</f>
        <v>-2</v>
      </c>
      <c r="C8" s="31">
        <f>B8-1</f>
        <v>-3</v>
      </c>
      <c r="D8" s="31">
        <f>C8-1</f>
        <v>-4</v>
      </c>
      <c r="E8" s="31">
        <f>D8-1</f>
        <v>-5</v>
      </c>
      <c r="F8" s="31">
        <f>E8-1</f>
        <v>-6</v>
      </c>
    </row>
    <row r="9" spans="1:6" ht="15.75" thickBot="1" x14ac:dyDescent="0.3">
      <c r="A9" s="32" t="s">
        <v>7</v>
      </c>
      <c r="B9" s="32" t="s">
        <v>217</v>
      </c>
      <c r="C9" s="32" t="s">
        <v>218</v>
      </c>
      <c r="D9" s="32" t="s">
        <v>219</v>
      </c>
      <c r="E9" s="32" t="s">
        <v>220</v>
      </c>
      <c r="F9" s="32" t="s">
        <v>221</v>
      </c>
    </row>
    <row r="10" spans="1:6" x14ac:dyDescent="0.25">
      <c r="A10" s="133"/>
      <c r="B10" s="148"/>
      <c r="C10" s="149"/>
      <c r="D10" s="148"/>
      <c r="E10" s="149"/>
      <c r="F10" s="162"/>
    </row>
    <row r="11" spans="1:6" x14ac:dyDescent="0.25">
      <c r="A11" s="137">
        <v>1</v>
      </c>
      <c r="B11" s="88">
        <f>'Tables7-13-23 - IULHostVEDCalcs'!N82</f>
        <v>312646.34848849638</v>
      </c>
      <c r="C11" s="88">
        <f>'Tables7-13-23 - IULHostVEDCalcs'!P81</f>
        <v>2532151.7991722147</v>
      </c>
      <c r="D11" s="88">
        <f>B11+C11</f>
        <v>2844798.1476607108</v>
      </c>
      <c r="E11" s="85">
        <f>'Tables7-13-23 - IULHostVEDCalcs'!K49</f>
        <v>2844364.1829871209</v>
      </c>
      <c r="F11" s="331">
        <f>D11/E11</f>
        <v>1.0001525700106144</v>
      </c>
    </row>
    <row r="12" spans="1:6" x14ac:dyDescent="0.25">
      <c r="A12" s="137">
        <v>2</v>
      </c>
      <c r="B12" s="88">
        <f>'Tables7-13-23 - IULHostVEDCalcs'!AU83+'Tables7-13-23 - IULHostVEDCalcs'!BK83</f>
        <v>747016.22947353288</v>
      </c>
      <c r="C12" s="88">
        <f>'Tables7-13-23 - IULHostVEDCalcs'!AW82+'Tables7-13-23 - IULHostVEDCalcs'!BM82</f>
        <v>4263038.9734213697</v>
      </c>
      <c r="D12" s="88">
        <f>B12+C12</f>
        <v>5010055.2028949028</v>
      </c>
      <c r="E12" s="85">
        <f>'Tables7-13-23 - IULHostVEDCalcs'!AB50</f>
        <v>5031648.948034537</v>
      </c>
      <c r="F12" s="331">
        <f>D12/E12</f>
        <v>0.99570841579715752</v>
      </c>
    </row>
    <row r="13" spans="1:6" ht="15.75" thickBot="1" x14ac:dyDescent="0.3">
      <c r="A13" s="139">
        <v>3</v>
      </c>
      <c r="B13" s="332">
        <f>'Tables7-13-23 - IULHostVEDCalcs'!CR84+'Tables7-13-23 - IULHostVEDCalcs'!DH84+'Tables7-13-23 - IULHostVEDCalcs'!DX84</f>
        <v>1223409.8716374738</v>
      </c>
      <c r="C13" s="332">
        <f>'Tables7-13-23 - IULHostVEDCalcs'!CT83+'Tables7-13-23 - IULHostVEDCalcs'!DJ83+'Tables7-13-23 - IULHostVEDCalcs'!DZ83</f>
        <v>5556080.8971314952</v>
      </c>
      <c r="D13" s="332">
        <f>B13+C13</f>
        <v>6779490.768768969</v>
      </c>
      <c r="E13" s="333">
        <f>'Tables7-13-23 - IULHostVEDCalcs'!BY51</f>
        <v>6824906.4951088177</v>
      </c>
      <c r="F13" s="334">
        <f>D13/E13</f>
        <v>0.99334558995461741</v>
      </c>
    </row>
  </sheetData>
  <mergeCells count="2">
    <mergeCell ref="A7:F7"/>
    <mergeCell ref="A6:F6"/>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DED91-F5B9-9D44-9813-C2F7401D5C78}">
  <sheetPr codeName="Sheet5"/>
  <dimension ref="A1:L33"/>
  <sheetViews>
    <sheetView showGridLines="0" workbookViewId="0">
      <selection activeCell="Z48" sqref="Z48"/>
    </sheetView>
  </sheetViews>
  <sheetFormatPr defaultColWidth="11.5703125" defaultRowHeight="15" x14ac:dyDescent="0.25"/>
  <cols>
    <col min="1" max="1" width="11.5703125" style="75"/>
    <col min="2" max="2" width="7.42578125" style="81" customWidth="1"/>
    <col min="3" max="3" width="10" style="75" bestFit="1" customWidth="1"/>
    <col min="4" max="4" width="9.85546875" style="75" customWidth="1"/>
    <col min="5" max="5" width="10.140625" style="75" bestFit="1" customWidth="1"/>
    <col min="6" max="6" width="11.140625" style="75" customWidth="1"/>
    <col min="7" max="7" width="10" style="75" customWidth="1"/>
    <col min="8" max="8" width="10.140625" style="84" customWidth="1"/>
    <col min="9" max="9" width="11.140625" style="75" customWidth="1"/>
    <col min="10" max="16384" width="11.5703125" style="75"/>
  </cols>
  <sheetData>
    <row r="1" spans="1:12" x14ac:dyDescent="0.25">
      <c r="A1" s="76" t="s">
        <v>368</v>
      </c>
    </row>
    <row r="2" spans="1:12" x14ac:dyDescent="0.25">
      <c r="A2" s="45" t="s">
        <v>369</v>
      </c>
    </row>
    <row r="3" spans="1:12" x14ac:dyDescent="0.25">
      <c r="A3" s="78" t="s">
        <v>370</v>
      </c>
    </row>
    <row r="4" spans="1:12" x14ac:dyDescent="0.25">
      <c r="A4" s="79" t="s">
        <v>379</v>
      </c>
    </row>
    <row r="5" spans="1:12" ht="15.75" thickBot="1" x14ac:dyDescent="0.3"/>
    <row r="6" spans="1:12" x14ac:dyDescent="0.25">
      <c r="B6" s="417" t="s">
        <v>303</v>
      </c>
      <c r="C6" s="418"/>
      <c r="D6" s="418"/>
      <c r="E6" s="418"/>
      <c r="F6" s="418"/>
      <c r="G6" s="418"/>
      <c r="H6" s="418"/>
      <c r="I6" s="419"/>
    </row>
    <row r="7" spans="1:12" ht="15.75" thickBot="1" x14ac:dyDescent="0.3">
      <c r="B7" s="456" t="s">
        <v>222</v>
      </c>
      <c r="C7" s="457"/>
      <c r="D7" s="457"/>
      <c r="E7" s="457"/>
      <c r="F7" s="457"/>
      <c r="G7" s="457"/>
      <c r="H7" s="457"/>
      <c r="I7" s="458"/>
    </row>
    <row r="8" spans="1:12" x14ac:dyDescent="0.25">
      <c r="B8" s="339">
        <v>-1</v>
      </c>
      <c r="C8" s="339">
        <f>B8-1</f>
        <v>-2</v>
      </c>
      <c r="D8" s="339">
        <f t="shared" ref="D8:E8" si="0">C8-1</f>
        <v>-3</v>
      </c>
      <c r="E8" s="339">
        <f t="shared" si="0"/>
        <v>-4</v>
      </c>
      <c r="F8" s="339">
        <f t="shared" ref="F8" si="1">E8-1</f>
        <v>-5</v>
      </c>
      <c r="G8" s="339">
        <f t="shared" ref="G8" si="2">F8-1</f>
        <v>-6</v>
      </c>
      <c r="H8" s="339">
        <f t="shared" ref="H8" si="3">G8-1</f>
        <v>-7</v>
      </c>
      <c r="I8" s="339">
        <f t="shared" ref="I8" si="4">H8-1</f>
        <v>-8</v>
      </c>
    </row>
    <row r="9" spans="1:12" ht="60.75" thickBot="1" x14ac:dyDescent="0.3">
      <c r="B9" s="156" t="s">
        <v>88</v>
      </c>
      <c r="C9" s="156" t="s">
        <v>17</v>
      </c>
      <c r="D9" s="156" t="s">
        <v>223</v>
      </c>
      <c r="E9" s="156" t="s">
        <v>95</v>
      </c>
      <c r="F9" s="156" t="s">
        <v>305</v>
      </c>
      <c r="G9" s="156" t="s">
        <v>307</v>
      </c>
      <c r="H9" s="340" t="s">
        <v>306</v>
      </c>
      <c r="I9" s="156" t="s">
        <v>222</v>
      </c>
    </row>
    <row r="10" spans="1:12" x14ac:dyDescent="0.25">
      <c r="B10" s="93">
        <v>0</v>
      </c>
      <c r="C10" s="101"/>
      <c r="D10" s="101"/>
      <c r="E10" s="316">
        <f>('Actuarial balances'!H14/'Tables 26a,b-MasterInputs'!$D$17)*$B$33</f>
        <v>10000</v>
      </c>
      <c r="F10" s="316">
        <f>SUM(E10:$E$30)</f>
        <v>97993.700899393021</v>
      </c>
      <c r="G10" s="101"/>
      <c r="H10" s="316"/>
      <c r="I10" s="102"/>
    </row>
    <row r="11" spans="1:12" x14ac:dyDescent="0.25">
      <c r="B11" s="163">
        <v>1</v>
      </c>
      <c r="C11" s="174">
        <f>('Actuarial balances'!B44/'Tables 26a,b-MasterInputs'!$D$17)*$B$33</f>
        <v>350000</v>
      </c>
      <c r="D11" s="174">
        <f>C11*0.03</f>
        <v>10500</v>
      </c>
      <c r="E11" s="174">
        <f>('Actuarial balances'!H15/'Tables 26a,b-MasterInputs'!$D$17)*$B$33</f>
        <v>8493.1999999999989</v>
      </c>
      <c r="F11" s="174">
        <f>SUM(E11:$E$30)</f>
        <v>87993.700899393021</v>
      </c>
      <c r="G11" s="182">
        <f>E10/F10</f>
        <v>0.10204737557842293</v>
      </c>
      <c r="H11" s="174">
        <f>G11*(I10+D11)</f>
        <v>1071.4974435734407</v>
      </c>
      <c r="I11" s="175">
        <f>I10+D11-H11</f>
        <v>9428.5025564265597</v>
      </c>
      <c r="L11" s="84"/>
    </row>
    <row r="12" spans="1:12" x14ac:dyDescent="0.25">
      <c r="B12" s="163">
        <f>B11+1</f>
        <v>2</v>
      </c>
      <c r="C12" s="174">
        <f>('Actuarial balances'!B45/'Tables 26a,b-MasterInputs'!$D$17)*$B$33</f>
        <v>297262</v>
      </c>
      <c r="D12" s="84">
        <v>0</v>
      </c>
      <c r="E12" s="174">
        <f>('Actuarial balances'!H16/'Tables 26a,b-MasterInputs'!$D$17)*$B$33</f>
        <v>7465.7945823999989</v>
      </c>
      <c r="F12" s="174">
        <f>SUM(E12:$E$30)</f>
        <v>79500.500899393024</v>
      </c>
      <c r="G12" s="182">
        <f t="shared" ref="G12:G30" si="5">E11/F11</f>
        <v>9.6520545370749194E-2</v>
      </c>
      <c r="H12" s="174">
        <f t="shared" ref="H12:H30" si="6">G12*(I11+D12)</f>
        <v>910.04420877579457</v>
      </c>
      <c r="I12" s="175">
        <f t="shared" ref="I12:I30" si="7">I11+D12-H12</f>
        <v>8518.4583476507651</v>
      </c>
      <c r="L12" s="84"/>
    </row>
    <row r="13" spans="1:12" x14ac:dyDescent="0.25">
      <c r="B13" s="163">
        <f t="shared" ref="B13:B29" si="8">B12+1</f>
        <v>3</v>
      </c>
      <c r="C13" s="174">
        <f>('Actuarial balances'!B46/'Tables 26a,b-MasterInputs'!$D$17)*$B$33</f>
        <v>261302.81038400001</v>
      </c>
      <c r="D13" s="84">
        <v>0</v>
      </c>
      <c r="E13" s="174">
        <f>('Actuarial balances'!H17/'Tables 26a,b-MasterInputs'!$D$17)*$B$33</f>
        <v>6709.6066465324502</v>
      </c>
      <c r="F13" s="174">
        <f>SUM(E13:$E$30)</f>
        <v>72034.706316993019</v>
      </c>
      <c r="G13" s="182">
        <f t="shared" si="5"/>
        <v>9.3908774132730022E-2</v>
      </c>
      <c r="H13" s="174">
        <f t="shared" si="6"/>
        <v>799.95798092860434</v>
      </c>
      <c r="I13" s="175">
        <f t="shared" si="7"/>
        <v>7718.5003667221608</v>
      </c>
      <c r="L13" s="84"/>
    </row>
    <row r="14" spans="1:12" x14ac:dyDescent="0.25">
      <c r="B14" s="163">
        <f t="shared" si="8"/>
        <v>4</v>
      </c>
      <c r="C14" s="174">
        <f>('Actuarial balances'!B47/'Tables 26a,b-MasterInputs'!$D$17)*$B$33</f>
        <v>234836.23262863577</v>
      </c>
      <c r="D14" s="84">
        <v>0</v>
      </c>
      <c r="E14" s="174">
        <f>('Actuarial balances'!H18/'Tables 26a,b-MasterInputs'!$D$17)*$B$33</f>
        <v>6095.3012294418604</v>
      </c>
      <c r="F14" s="174">
        <f>SUM(E14:$E$30)</f>
        <v>65325.099670460586</v>
      </c>
      <c r="G14" s="182">
        <f t="shared" si="5"/>
        <v>9.3144082756531646E-2</v>
      </c>
      <c r="H14" s="174">
        <f t="shared" si="6"/>
        <v>718.93263691428876</v>
      </c>
      <c r="I14" s="175">
        <f t="shared" si="7"/>
        <v>6999.5677298078717</v>
      </c>
      <c r="L14" s="84"/>
    </row>
    <row r="15" spans="1:12" x14ac:dyDescent="0.25">
      <c r="B15" s="163">
        <f t="shared" si="8"/>
        <v>5</v>
      </c>
      <c r="C15" s="174">
        <f>('Actuarial balances'!B48/'Tables 26a,b-MasterInputs'!$D$17)*$B$33</f>
        <v>213335.54303046511</v>
      </c>
      <c r="D15" s="84">
        <v>0</v>
      </c>
      <c r="E15" s="174">
        <f>('Actuarial balances'!H19/'Tables 26a,b-MasterInputs'!$D$17)*$B$33</f>
        <v>5596.7982374522044</v>
      </c>
      <c r="F15" s="174">
        <f>SUM(E15:$E$30)</f>
        <v>59229.798441018713</v>
      </c>
      <c r="G15" s="182">
        <f t="shared" si="5"/>
        <v>9.3307186061563713E-2</v>
      </c>
      <c r="H15" s="174">
        <f t="shared" si="6"/>
        <v>653.10996851570019</v>
      </c>
      <c r="I15" s="175">
        <f t="shared" si="7"/>
        <v>6346.4577612921712</v>
      </c>
      <c r="L15" s="84"/>
    </row>
    <row r="16" spans="1:12" x14ac:dyDescent="0.25">
      <c r="B16" s="163">
        <f t="shared" si="8"/>
        <v>6</v>
      </c>
      <c r="C16" s="174">
        <f>('Actuarial balances'!B49/'Tables 26a,b-MasterInputs'!$D$17)*$B$33</f>
        <v>195887.93831082716</v>
      </c>
      <c r="D16" s="84">
        <v>0</v>
      </c>
      <c r="E16" s="174">
        <f>('Actuarial balances'!H20/'Tables 26a,b-MasterInputs'!$D$17)*$B$33</f>
        <v>5193.4672111895061</v>
      </c>
      <c r="F16" s="174">
        <f>SUM(E16:$E$30)</f>
        <v>53633.000203566517</v>
      </c>
      <c r="G16" s="182">
        <f t="shared" si="5"/>
        <v>9.4492947549458917E-2</v>
      </c>
      <c r="H16" s="174">
        <f t="shared" si="6"/>
        <v>599.69550036263763</v>
      </c>
      <c r="I16" s="175">
        <f t="shared" si="7"/>
        <v>5746.762260929534</v>
      </c>
      <c r="L16" s="84"/>
    </row>
    <row r="17" spans="2:12" x14ac:dyDescent="0.25">
      <c r="B17" s="163">
        <f t="shared" si="8"/>
        <v>7</v>
      </c>
      <c r="C17" s="174">
        <f>('Actuarial balances'!B50/'Tables 26a,b-MasterInputs'!$D$17)*$B$33</f>
        <v>181771.35239163271</v>
      </c>
      <c r="D17" s="84">
        <v>0</v>
      </c>
      <c r="E17" s="174">
        <f>('Actuarial balances'!H21/'Tables 26a,b-MasterInputs'!$D$17)*$B$33</f>
        <v>4869.5080747964839</v>
      </c>
      <c r="F17" s="174">
        <f>SUM(E17:$E$30)</f>
        <v>48439.532992377011</v>
      </c>
      <c r="G17" s="182">
        <f t="shared" si="5"/>
        <v>9.6833427022121873E-2</v>
      </c>
      <c r="H17" s="174">
        <f t="shared" si="6"/>
        <v>556.47868400720415</v>
      </c>
      <c r="I17" s="175">
        <f t="shared" si="7"/>
        <v>5190.2835769223302</v>
      </c>
      <c r="L17" s="84"/>
    </row>
    <row r="18" spans="2:12" x14ac:dyDescent="0.25">
      <c r="B18" s="163">
        <f t="shared" si="8"/>
        <v>8</v>
      </c>
      <c r="C18" s="174">
        <f>('Actuarial balances'!B51/'Tables 26a,b-MasterInputs'!$D$17)*$B$33</f>
        <v>170432.78261787695</v>
      </c>
      <c r="D18" s="84">
        <v>0</v>
      </c>
      <c r="E18" s="174">
        <f>('Actuarial balances'!H22/'Tables 26a,b-MasterInputs'!$D$17)*$B$33</f>
        <v>4612.9409985975699</v>
      </c>
      <c r="F18" s="174">
        <f>SUM(E18:$E$30)</f>
        <v>43570.024917580522</v>
      </c>
      <c r="G18" s="182">
        <f t="shared" si="5"/>
        <v>0.10052756032067453</v>
      </c>
      <c r="H18" s="174">
        <f t="shared" si="6"/>
        <v>521.7665453604659</v>
      </c>
      <c r="I18" s="175">
        <f t="shared" si="7"/>
        <v>4668.5170315618643</v>
      </c>
      <c r="L18" s="84"/>
    </row>
    <row r="19" spans="2:12" x14ac:dyDescent="0.25">
      <c r="B19" s="163">
        <f t="shared" si="8"/>
        <v>9</v>
      </c>
      <c r="C19" s="174">
        <f>('Actuarial balances'!B52/'Tables 26a,b-MasterInputs'!$D$17)*$B$33</f>
        <v>161452.93495091493</v>
      </c>
      <c r="D19" s="84">
        <v>0</v>
      </c>
      <c r="E19" s="174">
        <f>('Actuarial balances'!H23/'Tables 26a,b-MasterInputs'!$D$17)*$B$33</f>
        <v>4414.6509620082534</v>
      </c>
      <c r="F19" s="174">
        <f>SUM(E19:$E$30)</f>
        <v>38957.083918982949</v>
      </c>
      <c r="G19" s="182">
        <f t="shared" si="5"/>
        <v>0.10587418775462408</v>
      </c>
      <c r="H19" s="174">
        <f t="shared" si="6"/>
        <v>494.27544873524107</v>
      </c>
      <c r="I19" s="175">
        <f t="shared" si="7"/>
        <v>4174.241582826623</v>
      </c>
      <c r="L19" s="84"/>
    </row>
    <row r="20" spans="2:12" x14ac:dyDescent="0.25">
      <c r="B20" s="163">
        <f t="shared" si="8"/>
        <v>10</v>
      </c>
      <c r="C20" s="174">
        <f>('Actuarial balances'!B53/'Tables 26a,b-MasterInputs'!$D$17)*$B$33</f>
        <v>154512.78367028889</v>
      </c>
      <c r="D20" s="84">
        <v>0</v>
      </c>
      <c r="E20" s="174">
        <f>('Actuarial balances'!H24/'Tables 26a,b-MasterInputs'!$D$17)*$B$33</f>
        <v>4223.4435995417516</v>
      </c>
      <c r="F20" s="174">
        <f>SUM(E20:$E$30)</f>
        <v>34542.432956974699</v>
      </c>
      <c r="G20" s="182">
        <f t="shared" si="5"/>
        <v>0.11332087820508271</v>
      </c>
      <c r="H20" s="174">
        <f t="shared" si="6"/>
        <v>473.02872200608743</v>
      </c>
      <c r="I20" s="175">
        <f t="shared" si="7"/>
        <v>3701.2128608205358</v>
      </c>
      <c r="L20" s="84"/>
    </row>
    <row r="21" spans="2:12" x14ac:dyDescent="0.25">
      <c r="B21" s="163">
        <f t="shared" si="8"/>
        <v>11</v>
      </c>
      <c r="C21" s="174">
        <f>('Actuarial balances'!B54/'Tables 26a,b-MasterInputs'!$D$17)*$B$33</f>
        <v>147820.5259839613</v>
      </c>
      <c r="D21" s="84">
        <v>0</v>
      </c>
      <c r="E21" s="174">
        <f>('Actuarial balances'!H25/'Tables 26a,b-MasterInputs'!$D$17)*$B$33</f>
        <v>4038.6527376648419</v>
      </c>
      <c r="F21" s="174">
        <f>SUM(E21:$E$30)</f>
        <v>30318.989357432947</v>
      </c>
      <c r="G21" s="182">
        <f t="shared" si="5"/>
        <v>0.1222682723247196</v>
      </c>
      <c r="H21" s="174">
        <f t="shared" si="6"/>
        <v>452.54090199855978</v>
      </c>
      <c r="I21" s="175">
        <f t="shared" si="7"/>
        <v>3248.6719588219757</v>
      </c>
      <c r="L21" s="84"/>
    </row>
    <row r="22" spans="2:12" x14ac:dyDescent="0.25">
      <c r="B22" s="163">
        <f t="shared" si="8"/>
        <v>12</v>
      </c>
      <c r="C22" s="174">
        <f>('Actuarial balances'!B55/'Tables 26a,b-MasterInputs'!$D$17)*$B$33</f>
        <v>141352.84581826947</v>
      </c>
      <c r="D22" s="84">
        <v>0</v>
      </c>
      <c r="E22" s="174">
        <f>('Actuarial balances'!H26/'Tables 26a,b-MasterInputs'!$D$17)*$B$33</f>
        <v>3859.3107087350013</v>
      </c>
      <c r="F22" s="174">
        <f>SUM(E22:$E$30)</f>
        <v>26280.336619768103</v>
      </c>
      <c r="G22" s="182">
        <f t="shared" si="5"/>
        <v>0.1332053878858839</v>
      </c>
      <c r="H22" s="174">
        <f t="shared" si="6"/>
        <v>432.74060838887556</v>
      </c>
      <c r="I22" s="175">
        <f t="shared" si="7"/>
        <v>2815.9313504331003</v>
      </c>
      <c r="L22" s="84"/>
    </row>
    <row r="23" spans="2:12" x14ac:dyDescent="0.25">
      <c r="B23" s="163">
        <f t="shared" si="8"/>
        <v>13</v>
      </c>
      <c r="C23" s="174">
        <f>('Actuarial balances'!B56/'Tables 26a,b-MasterInputs'!$D$17)*$B$33</f>
        <v>135075.87480572503</v>
      </c>
      <c r="D23" s="84">
        <v>0</v>
      </c>
      <c r="E23" s="174">
        <f>('Actuarial balances'!H27/'Tables 26a,b-MasterInputs'!$D$17)*$B$33</f>
        <v>3685.0057124371269</v>
      </c>
      <c r="F23" s="174">
        <f>SUM(E23:$E$30)</f>
        <v>22421.025911033103</v>
      </c>
      <c r="G23" s="182">
        <f t="shared" si="5"/>
        <v>0.14685164671110121</v>
      </c>
      <c r="H23" s="174">
        <f t="shared" si="6"/>
        <v>413.52415583651577</v>
      </c>
      <c r="I23" s="175">
        <f t="shared" si="7"/>
        <v>2402.4071945965843</v>
      </c>
      <c r="L23" s="84"/>
    </row>
    <row r="24" spans="2:12" x14ac:dyDescent="0.25">
      <c r="B24" s="163">
        <f t="shared" si="8"/>
        <v>14</v>
      </c>
      <c r="C24" s="174">
        <f>('Actuarial balances'!B57/'Tables 26a,b-MasterInputs'!$D$17)*$B$33</f>
        <v>128975.19993529943</v>
      </c>
      <c r="D24" s="84">
        <v>0</v>
      </c>
      <c r="E24" s="174">
        <f>('Actuarial balances'!H28/'Tables 26a,b-MasterInputs'!$D$17)*$B$33</f>
        <v>3515.8138341585732</v>
      </c>
      <c r="F24" s="174">
        <f>SUM(E24:$E$30)</f>
        <v>18736.020198595976</v>
      </c>
      <c r="G24" s="182">
        <f t="shared" si="5"/>
        <v>0.16435491074580055</v>
      </c>
      <c r="H24" s="174">
        <f t="shared" si="6"/>
        <v>394.84742004299073</v>
      </c>
      <c r="I24" s="175">
        <f t="shared" si="7"/>
        <v>2007.5597745535936</v>
      </c>
      <c r="L24" s="84"/>
    </row>
    <row r="25" spans="2:12" x14ac:dyDescent="0.25">
      <c r="B25" s="163">
        <f t="shared" si="8"/>
        <v>15</v>
      </c>
      <c r="C25" s="174">
        <f>('Actuarial balances'!B58/'Tables 26a,b-MasterInputs'!$D$17)*$B$33</f>
        <v>123053.48419555006</v>
      </c>
      <c r="D25" s="84">
        <v>0</v>
      </c>
      <c r="E25" s="174">
        <f>('Actuarial balances'!H29/'Tables 26a,b-MasterInputs'!$D$17)*$B$33</f>
        <v>3351.7912745163403</v>
      </c>
      <c r="F25" s="174">
        <f>SUM(E25:$E$30)</f>
        <v>15220.206364437403</v>
      </c>
      <c r="G25" s="182">
        <f t="shared" si="5"/>
        <v>0.18764998099340427</v>
      </c>
      <c r="H25" s="174">
        <f t="shared" si="6"/>
        <v>376.7185535381048</v>
      </c>
      <c r="I25" s="175">
        <f t="shared" si="7"/>
        <v>1630.8412210154888</v>
      </c>
      <c r="L25" s="84"/>
    </row>
    <row r="26" spans="2:12" x14ac:dyDescent="0.25">
      <c r="B26" s="163">
        <f t="shared" si="8"/>
        <v>16</v>
      </c>
      <c r="C26" s="174">
        <f>('Actuarial balances'!B59/'Tables 26a,b-MasterInputs'!$D$17)*$B$33</f>
        <v>117312.69460807191</v>
      </c>
      <c r="D26" s="84">
        <v>0</v>
      </c>
      <c r="E26" s="174">
        <f>('Actuarial balances'!H30/'Tables 26a,b-MasterInputs'!$D$17)*$B$33</f>
        <v>3192.7179420608145</v>
      </c>
      <c r="F26" s="174">
        <f>SUM(E26:$E$30)</f>
        <v>11868.415089921062</v>
      </c>
      <c r="G26" s="182">
        <f t="shared" si="5"/>
        <v>0.22021983107587353</v>
      </c>
      <c r="H26" s="174">
        <f t="shared" si="6"/>
        <v>359.14357820360226</v>
      </c>
      <c r="I26" s="175">
        <f t="shared" si="7"/>
        <v>1271.6976428118865</v>
      </c>
      <c r="L26" s="84"/>
    </row>
    <row r="27" spans="2:12" x14ac:dyDescent="0.25">
      <c r="B27" s="163">
        <f t="shared" si="8"/>
        <v>17</v>
      </c>
      <c r="C27" s="174">
        <f>('Actuarial balances'!B60/'Tables 26a,b-MasterInputs'!$D$17)*$B$33</f>
        <v>111745.12797212851</v>
      </c>
      <c r="D27" s="84">
        <v>0</v>
      </c>
      <c r="E27" s="174">
        <f>('Actuarial balances'!H31/'Tables 26a,b-MasterInputs'!$D$17)*$B$33</f>
        <v>3039.0179461556527</v>
      </c>
      <c r="F27" s="174">
        <f>SUM(E27:$E$30)</f>
        <v>8675.6971478602482</v>
      </c>
      <c r="G27" s="182">
        <f t="shared" si="5"/>
        <v>0.26900962916035404</v>
      </c>
      <c r="H27" s="174">
        <f t="shared" si="6"/>
        <v>342.09891129692193</v>
      </c>
      <c r="I27" s="175">
        <f t="shared" si="7"/>
        <v>929.59873151496458</v>
      </c>
      <c r="L27" s="84"/>
    </row>
    <row r="28" spans="2:12" x14ac:dyDescent="0.25">
      <c r="B28" s="163">
        <f t="shared" si="8"/>
        <v>18</v>
      </c>
      <c r="C28" s="174">
        <f>('Actuarial balances'!B61/'Tables 26a,b-MasterInputs'!$D$17)*$B$33</f>
        <v>106365.62811544785</v>
      </c>
      <c r="D28" s="84">
        <v>0</v>
      </c>
      <c r="E28" s="174">
        <f>('Actuarial balances'!H32/'Tables 26a,b-MasterInputs'!$D$17)*$B$33</f>
        <v>2890.3248760861488</v>
      </c>
      <c r="F28" s="174">
        <f>SUM(E28:$E$30)</f>
        <v>5636.6792017045955</v>
      </c>
      <c r="G28" s="182">
        <f t="shared" si="5"/>
        <v>0.35029092122068695</v>
      </c>
      <c r="H28" s="174">
        <f t="shared" si="6"/>
        <v>325.62999602795895</v>
      </c>
      <c r="I28" s="175">
        <f t="shared" si="7"/>
        <v>603.96873548700569</v>
      </c>
      <c r="L28" s="84"/>
    </row>
    <row r="29" spans="2:12" x14ac:dyDescent="0.25">
      <c r="B29" s="163">
        <f t="shared" si="8"/>
        <v>19</v>
      </c>
      <c r="C29" s="174">
        <f>('Actuarial balances'!B62/'Tables 26a,b-MasterInputs'!$D$17)*$B$33</f>
        <v>101161.37066301523</v>
      </c>
      <c r="D29" s="84">
        <v>0</v>
      </c>
      <c r="E29" s="174">
        <f>('Actuarial balances'!H33/'Tables 26a,b-MasterInputs'!$D$17)*$B$33</f>
        <v>2746.3543256184462</v>
      </c>
      <c r="F29" s="174">
        <f>SUM(E29:$E$30)</f>
        <v>2746.3543256184462</v>
      </c>
      <c r="G29" s="182">
        <f t="shared" si="5"/>
        <v>0.51277086608229927</v>
      </c>
      <c r="H29" s="174">
        <f t="shared" si="6"/>
        <v>309.697571582303</v>
      </c>
      <c r="I29" s="175">
        <f t="shared" si="7"/>
        <v>294.27116390470269</v>
      </c>
      <c r="L29" s="84"/>
    </row>
    <row r="30" spans="2:12" ht="15.75" thickBot="1" x14ac:dyDescent="0.3">
      <c r="B30" s="163">
        <f>B29+1</f>
        <v>20</v>
      </c>
      <c r="C30" s="174">
        <f>('Actuarial balances'!B63/'Tables 26a,b-MasterInputs'!$D$17)*$B$33</f>
        <v>96122.401396645626</v>
      </c>
      <c r="D30" s="84">
        <v>0</v>
      </c>
      <c r="E30" s="174">
        <f>('Actuarial balances'!H34/'Tables 26a,b-MasterInputs'!$D$17)*$B$33</f>
        <v>0</v>
      </c>
      <c r="F30" s="174">
        <v>0</v>
      </c>
      <c r="G30" s="182">
        <f t="shared" si="5"/>
        <v>1</v>
      </c>
      <c r="H30" s="174">
        <f t="shared" si="6"/>
        <v>294.27116390470269</v>
      </c>
      <c r="I30" s="175">
        <f t="shared" si="7"/>
        <v>0</v>
      </c>
      <c r="L30" s="84"/>
    </row>
    <row r="31" spans="2:12" ht="15.75" thickBot="1" x14ac:dyDescent="0.3">
      <c r="B31" s="335" t="s">
        <v>43</v>
      </c>
      <c r="C31" s="336">
        <f>SUM(C10:C30)</f>
        <v>3429779.5314787556</v>
      </c>
      <c r="D31" s="336">
        <f t="shared" ref="D31:E31" si="9">SUM(D10:D30)</f>
        <v>10500</v>
      </c>
      <c r="E31" s="152">
        <f t="shared" si="9"/>
        <v>97993.700899393021</v>
      </c>
      <c r="F31" s="152"/>
      <c r="G31" s="337"/>
      <c r="H31" s="336">
        <f>SUM(H10:H30)</f>
        <v>10500</v>
      </c>
      <c r="I31" s="338"/>
    </row>
    <row r="33" spans="2:3" x14ac:dyDescent="0.25">
      <c r="B33" s="81">
        <v>10000</v>
      </c>
      <c r="C33" s="75" t="s">
        <v>304</v>
      </c>
    </row>
  </sheetData>
  <mergeCells count="2">
    <mergeCell ref="B6:I6"/>
    <mergeCell ref="B7:I7"/>
  </mergeCells>
  <pageMargins left="0.7" right="0.7" top="0.75" bottom="0.75" header="0.3" footer="0.3"/>
  <pageSetup orientation="portrait" r:id="rId1"/>
  <customProperties>
    <customPr name="EpmWorksheetKeyString_GUID" r:id="rId2"/>
  </customPropertie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dimension ref="A1:S75"/>
  <sheetViews>
    <sheetView showGridLines="0" zoomScaleNormal="100" workbookViewId="0">
      <selection activeCell="C40" sqref="C40"/>
    </sheetView>
  </sheetViews>
  <sheetFormatPr defaultColWidth="8.5703125" defaultRowHeight="15" x14ac:dyDescent="0.25"/>
  <cols>
    <col min="1" max="1" width="8.5703125" style="75"/>
    <col min="2" max="2" width="8.5703125" style="81" customWidth="1"/>
    <col min="3" max="3" width="13.140625" style="75" customWidth="1"/>
    <col min="4" max="6" width="11.5703125" style="75" customWidth="1"/>
    <col min="7" max="7" width="10.85546875" style="75" customWidth="1"/>
    <col min="8" max="8" width="13" style="75" customWidth="1"/>
    <col min="9" max="9" width="11.42578125" style="75" customWidth="1"/>
    <col min="10" max="10" width="11.5703125" style="75" customWidth="1"/>
    <col min="11" max="11" width="14.140625" style="75" customWidth="1"/>
    <col min="12" max="17" width="11.5703125" style="75" customWidth="1"/>
    <col min="18" max="18" width="33.85546875" style="75" bestFit="1" customWidth="1"/>
    <col min="19" max="19" width="14.5703125" style="75" customWidth="1"/>
    <col min="20" max="16384" width="8.5703125" style="75"/>
  </cols>
  <sheetData>
    <row r="1" spans="1:9" x14ac:dyDescent="0.25">
      <c r="A1" s="76" t="s">
        <v>368</v>
      </c>
    </row>
    <row r="2" spans="1:9" x14ac:dyDescent="0.25">
      <c r="A2" s="45" t="s">
        <v>369</v>
      </c>
    </row>
    <row r="3" spans="1:9" x14ac:dyDescent="0.25">
      <c r="A3" s="78" t="s">
        <v>370</v>
      </c>
    </row>
    <row r="4" spans="1:9" x14ac:dyDescent="0.25">
      <c r="A4" s="79" t="s">
        <v>379</v>
      </c>
    </row>
    <row r="6" spans="1:9" x14ac:dyDescent="0.25">
      <c r="A6" s="1" t="s">
        <v>308</v>
      </c>
    </row>
    <row r="7" spans="1:9" x14ac:dyDescent="0.25">
      <c r="A7" s="1" t="s">
        <v>0</v>
      </c>
    </row>
    <row r="8" spans="1:9" x14ac:dyDescent="0.25">
      <c r="A8" s="1" t="s">
        <v>166</v>
      </c>
    </row>
    <row r="9" spans="1:9" ht="15.75" thickBot="1" x14ac:dyDescent="0.3">
      <c r="A9" s="1"/>
    </row>
    <row r="10" spans="1:9" x14ac:dyDescent="0.25">
      <c r="B10" s="36" t="s">
        <v>167</v>
      </c>
      <c r="C10" s="16"/>
      <c r="D10" s="17"/>
      <c r="E10" s="1"/>
      <c r="F10" s="431" t="s">
        <v>312</v>
      </c>
      <c r="G10" s="432"/>
      <c r="H10" s="432"/>
      <c r="I10" s="433"/>
    </row>
    <row r="11" spans="1:9" x14ac:dyDescent="0.25">
      <c r="B11" s="37" t="s">
        <v>168</v>
      </c>
      <c r="C11" s="1"/>
      <c r="D11" s="19"/>
      <c r="E11" s="1"/>
      <c r="F11" s="459" t="s">
        <v>310</v>
      </c>
      <c r="G11" s="460"/>
      <c r="H11" s="460"/>
      <c r="I11" s="461"/>
    </row>
    <row r="12" spans="1:9" ht="15.75" thickBot="1" x14ac:dyDescent="0.3">
      <c r="B12" s="163"/>
      <c r="D12" s="120"/>
      <c r="F12" s="137"/>
      <c r="I12" s="120"/>
    </row>
    <row r="13" spans="1:9" x14ac:dyDescent="0.25">
      <c r="B13" s="163" t="s">
        <v>98</v>
      </c>
      <c r="D13" s="47">
        <v>1000</v>
      </c>
      <c r="E13" s="269"/>
      <c r="F13" s="133" t="s">
        <v>169</v>
      </c>
      <c r="G13" s="101"/>
      <c r="H13" s="101"/>
      <c r="I13" s="341" t="s">
        <v>224</v>
      </c>
    </row>
    <row r="14" spans="1:9" x14ac:dyDescent="0.25">
      <c r="B14" s="163" t="s">
        <v>99</v>
      </c>
      <c r="D14" s="47">
        <v>100</v>
      </c>
      <c r="F14" s="20" t="s">
        <v>138</v>
      </c>
      <c r="G14" s="21"/>
      <c r="I14" s="49">
        <v>0.05</v>
      </c>
    </row>
    <row r="15" spans="1:9" x14ac:dyDescent="0.25">
      <c r="B15" s="163"/>
      <c r="D15" s="47"/>
      <c r="F15" s="20" t="s">
        <v>139</v>
      </c>
      <c r="G15" s="21"/>
      <c r="I15" s="49">
        <v>0.2</v>
      </c>
    </row>
    <row r="16" spans="1:9" x14ac:dyDescent="0.25">
      <c r="B16" s="163" t="s">
        <v>100</v>
      </c>
      <c r="D16" s="47">
        <v>100000</v>
      </c>
      <c r="E16" s="269"/>
      <c r="F16" s="20" t="s">
        <v>140</v>
      </c>
      <c r="G16" s="21"/>
      <c r="I16" s="49">
        <v>1.2500000000000001E-2</v>
      </c>
    </row>
    <row r="17" spans="2:19" x14ac:dyDescent="0.25">
      <c r="B17" s="163" t="s">
        <v>101</v>
      </c>
      <c r="D17" s="270">
        <f>D13*(D16/1000)</f>
        <v>100000</v>
      </c>
      <c r="F17" s="20" t="s">
        <v>141</v>
      </c>
      <c r="G17" s="21"/>
      <c r="I17" s="50">
        <v>1000</v>
      </c>
    </row>
    <row r="18" spans="2:19" x14ac:dyDescent="0.25">
      <c r="B18" s="163"/>
      <c r="D18" s="270"/>
      <c r="F18" s="20"/>
      <c r="G18" s="21"/>
      <c r="I18" s="342"/>
    </row>
    <row r="19" spans="2:19" x14ac:dyDescent="0.25">
      <c r="B19" s="163"/>
      <c r="D19" s="270"/>
      <c r="F19" s="20" t="s">
        <v>143</v>
      </c>
      <c r="G19" s="22"/>
      <c r="I19" s="49">
        <v>5.7517450058914218E-2</v>
      </c>
    </row>
    <row r="20" spans="2:19" ht="15.75" thickBot="1" x14ac:dyDescent="0.3">
      <c r="B20" s="163"/>
      <c r="D20" s="270"/>
      <c r="F20" s="20" t="s">
        <v>145</v>
      </c>
      <c r="G20" s="22"/>
      <c r="I20" s="51">
        <v>0</v>
      </c>
    </row>
    <row r="21" spans="2:19" ht="15.75" thickBot="1" x14ac:dyDescent="0.3">
      <c r="B21" s="95"/>
      <c r="C21" s="122"/>
      <c r="D21" s="271"/>
      <c r="F21" s="23" t="s">
        <v>146</v>
      </c>
      <c r="G21" s="24"/>
      <c r="H21" s="122"/>
      <c r="I21" s="52">
        <v>1</v>
      </c>
      <c r="R21" s="75" t="s">
        <v>407</v>
      </c>
      <c r="S21" s="412">
        <v>1.03</v>
      </c>
    </row>
    <row r="22" spans="2:19" x14ac:dyDescent="0.25">
      <c r="C22" s="269"/>
      <c r="G22" s="272"/>
    </row>
    <row r="23" spans="2:19" ht="15.75" thickBot="1" x14ac:dyDescent="0.3">
      <c r="C23" s="269"/>
      <c r="G23" s="272"/>
    </row>
    <row r="24" spans="2:19" x14ac:dyDescent="0.25">
      <c r="B24" s="431" t="s">
        <v>311</v>
      </c>
      <c r="C24" s="432"/>
      <c r="D24" s="432"/>
      <c r="E24" s="432"/>
      <c r="F24" s="432"/>
      <c r="G24" s="432"/>
      <c r="H24" s="432"/>
      <c r="I24" s="432"/>
      <c r="J24" s="433"/>
    </row>
    <row r="25" spans="2:19" ht="15.75" thickBot="1" x14ac:dyDescent="0.3">
      <c r="B25" s="434" t="s">
        <v>309</v>
      </c>
      <c r="C25" s="435"/>
      <c r="D25" s="435"/>
      <c r="E25" s="435"/>
      <c r="F25" s="435"/>
      <c r="G25" s="435"/>
      <c r="H25" s="435"/>
      <c r="I25" s="435"/>
      <c r="J25" s="436"/>
    </row>
    <row r="26" spans="2:19" x14ac:dyDescent="0.25">
      <c r="B26" s="289"/>
      <c r="C26" s="146">
        <f>B26-1</f>
        <v>-1</v>
      </c>
      <c r="D26" s="146">
        <f t="shared" ref="D26:J26" si="0">C26-1</f>
        <v>-2</v>
      </c>
      <c r="E26" s="146">
        <f t="shared" si="0"/>
        <v>-3</v>
      </c>
      <c r="F26" s="146">
        <f t="shared" si="0"/>
        <v>-4</v>
      </c>
      <c r="G26" s="146">
        <f t="shared" si="0"/>
        <v>-5</v>
      </c>
      <c r="H26" s="146">
        <f t="shared" si="0"/>
        <v>-6</v>
      </c>
      <c r="I26" s="146">
        <f t="shared" si="0"/>
        <v>-7</v>
      </c>
      <c r="J26" s="146">
        <f t="shared" si="0"/>
        <v>-8</v>
      </c>
    </row>
    <row r="27" spans="2:19" x14ac:dyDescent="0.25">
      <c r="B27" s="291"/>
      <c r="C27" s="291"/>
      <c r="D27" s="291" t="s">
        <v>51</v>
      </c>
      <c r="E27" s="291" t="s">
        <v>175</v>
      </c>
      <c r="F27" s="291" t="s">
        <v>174</v>
      </c>
      <c r="G27" s="291"/>
      <c r="H27" s="291" t="s">
        <v>34</v>
      </c>
      <c r="I27" s="291" t="s">
        <v>225</v>
      </c>
      <c r="J27" s="291" t="s">
        <v>225</v>
      </c>
    </row>
    <row r="28" spans="2:19" x14ac:dyDescent="0.25">
      <c r="B28" s="291" t="s">
        <v>3</v>
      </c>
      <c r="C28" s="291" t="s">
        <v>17</v>
      </c>
      <c r="D28" s="291" t="s">
        <v>227</v>
      </c>
      <c r="E28" s="291" t="s">
        <v>14</v>
      </c>
      <c r="F28" s="291" t="s">
        <v>14</v>
      </c>
      <c r="G28" s="291" t="s">
        <v>40</v>
      </c>
      <c r="H28" s="291" t="s">
        <v>40</v>
      </c>
      <c r="I28" s="291" t="s">
        <v>228</v>
      </c>
      <c r="J28" s="291" t="s">
        <v>229</v>
      </c>
    </row>
    <row r="29" spans="2:19" ht="15.75" thickBot="1" x14ac:dyDescent="0.3">
      <c r="B29" s="145" t="s">
        <v>7</v>
      </c>
      <c r="C29" s="145" t="s">
        <v>32</v>
      </c>
      <c r="D29" s="145" t="s">
        <v>182</v>
      </c>
      <c r="E29" s="145" t="s">
        <v>181</v>
      </c>
      <c r="F29" s="145" t="s">
        <v>181</v>
      </c>
      <c r="G29" s="145" t="s">
        <v>182</v>
      </c>
      <c r="H29" s="145" t="s">
        <v>182</v>
      </c>
      <c r="I29" s="145" t="s">
        <v>233</v>
      </c>
      <c r="J29" s="145" t="s">
        <v>233</v>
      </c>
    </row>
    <row r="30" spans="2:19" x14ac:dyDescent="0.25">
      <c r="B30" s="93"/>
      <c r="C30" s="101"/>
      <c r="D30" s="101"/>
      <c r="E30" s="101"/>
      <c r="F30" s="101"/>
      <c r="G30" s="101"/>
      <c r="H30" s="101"/>
      <c r="I30" s="101"/>
      <c r="J30" s="102"/>
    </row>
    <row r="31" spans="2:19" ht="13.35" customHeight="1" x14ac:dyDescent="0.25">
      <c r="B31" s="163">
        <v>1</v>
      </c>
      <c r="C31" s="53">
        <v>35</v>
      </c>
      <c r="D31" s="55">
        <v>0.05</v>
      </c>
      <c r="E31" s="55">
        <v>2.5000000000000001E-2</v>
      </c>
      <c r="F31" s="55">
        <v>2.75E-2</v>
      </c>
      <c r="G31" s="57">
        <v>0.6</v>
      </c>
      <c r="H31" s="57">
        <v>0.56999999999999995</v>
      </c>
      <c r="I31" s="53">
        <v>150</v>
      </c>
      <c r="J31" s="58">
        <v>125</v>
      </c>
    </row>
    <row r="32" spans="2:19" x14ac:dyDescent="0.25">
      <c r="B32" s="163">
        <f t="shared" ref="B32:B50" si="1">B31+1</f>
        <v>2</v>
      </c>
      <c r="C32" s="53">
        <f t="shared" ref="C32:C50" si="2">C31</f>
        <v>35</v>
      </c>
      <c r="D32" s="55">
        <v>0.05</v>
      </c>
      <c r="E32" s="55">
        <v>2.5000000000000001E-2</v>
      </c>
      <c r="F32" s="55">
        <v>2.75E-2</v>
      </c>
      <c r="G32" s="57">
        <v>0.03</v>
      </c>
      <c r="H32" s="57">
        <v>0</v>
      </c>
      <c r="I32" s="53">
        <v>0</v>
      </c>
      <c r="J32" s="58">
        <v>0</v>
      </c>
    </row>
    <row r="33" spans="2:10" x14ac:dyDescent="0.25">
      <c r="B33" s="163">
        <f t="shared" si="1"/>
        <v>3</v>
      </c>
      <c r="C33" s="53">
        <f t="shared" si="2"/>
        <v>35</v>
      </c>
      <c r="D33" s="55">
        <v>0.05</v>
      </c>
      <c r="E33" s="55">
        <v>2.5000000000000001E-2</v>
      </c>
      <c r="F33" s="55">
        <v>2.75E-2</v>
      </c>
      <c r="G33" s="57">
        <v>0.03</v>
      </c>
      <c r="H33" s="57">
        <v>0</v>
      </c>
      <c r="I33" s="53">
        <v>0</v>
      </c>
      <c r="J33" s="58">
        <v>0</v>
      </c>
    </row>
    <row r="34" spans="2:10" x14ac:dyDescent="0.25">
      <c r="B34" s="163">
        <f t="shared" si="1"/>
        <v>4</v>
      </c>
      <c r="C34" s="53">
        <f t="shared" si="2"/>
        <v>35</v>
      </c>
      <c r="D34" s="55">
        <v>0.05</v>
      </c>
      <c r="E34" s="55">
        <v>2.5000000000000001E-2</v>
      </c>
      <c r="F34" s="55">
        <v>2.75E-2</v>
      </c>
      <c r="G34" s="57">
        <v>0.03</v>
      </c>
      <c r="H34" s="57">
        <v>0</v>
      </c>
      <c r="I34" s="53">
        <v>0</v>
      </c>
      <c r="J34" s="58">
        <v>0</v>
      </c>
    </row>
    <row r="35" spans="2:10" x14ac:dyDescent="0.25">
      <c r="B35" s="163">
        <f t="shared" si="1"/>
        <v>5</v>
      </c>
      <c r="C35" s="53">
        <f t="shared" si="2"/>
        <v>35</v>
      </c>
      <c r="D35" s="55">
        <v>0.05</v>
      </c>
      <c r="E35" s="55">
        <v>2.5000000000000001E-2</v>
      </c>
      <c r="F35" s="55">
        <v>2.75E-2</v>
      </c>
      <c r="G35" s="57">
        <v>0.03</v>
      </c>
      <c r="H35" s="57">
        <v>0</v>
      </c>
      <c r="I35" s="53">
        <v>0</v>
      </c>
      <c r="J35" s="58">
        <v>0</v>
      </c>
    </row>
    <row r="36" spans="2:10" x14ac:dyDescent="0.25">
      <c r="B36" s="163">
        <f t="shared" si="1"/>
        <v>6</v>
      </c>
      <c r="C36" s="53">
        <f t="shared" si="2"/>
        <v>35</v>
      </c>
      <c r="D36" s="55">
        <v>0.05</v>
      </c>
      <c r="E36" s="55">
        <v>2.5000000000000001E-2</v>
      </c>
      <c r="F36" s="55">
        <v>2.75E-2</v>
      </c>
      <c r="G36" s="57">
        <v>0.03</v>
      </c>
      <c r="H36" s="57">
        <v>0</v>
      </c>
      <c r="I36" s="53">
        <v>0</v>
      </c>
      <c r="J36" s="58">
        <v>0</v>
      </c>
    </row>
    <row r="37" spans="2:10" x14ac:dyDescent="0.25">
      <c r="B37" s="163">
        <f t="shared" si="1"/>
        <v>7</v>
      </c>
      <c r="C37" s="53">
        <f t="shared" si="2"/>
        <v>35</v>
      </c>
      <c r="D37" s="55">
        <v>0.05</v>
      </c>
      <c r="E37" s="55">
        <v>2.5000000000000001E-2</v>
      </c>
      <c r="F37" s="55">
        <v>2.75E-2</v>
      </c>
      <c r="G37" s="57">
        <v>0.03</v>
      </c>
      <c r="H37" s="57">
        <v>0</v>
      </c>
      <c r="I37" s="53">
        <v>0</v>
      </c>
      <c r="J37" s="58">
        <v>0</v>
      </c>
    </row>
    <row r="38" spans="2:10" x14ac:dyDescent="0.25">
      <c r="B38" s="163">
        <f t="shared" si="1"/>
        <v>8</v>
      </c>
      <c r="C38" s="53">
        <f t="shared" si="2"/>
        <v>35</v>
      </c>
      <c r="D38" s="55">
        <v>0.05</v>
      </c>
      <c r="E38" s="55">
        <v>2.5000000000000001E-2</v>
      </c>
      <c r="F38" s="55">
        <v>2.75E-2</v>
      </c>
      <c r="G38" s="57">
        <v>0.03</v>
      </c>
      <c r="H38" s="57">
        <v>0</v>
      </c>
      <c r="I38" s="53">
        <v>0</v>
      </c>
      <c r="J38" s="58">
        <v>0</v>
      </c>
    </row>
    <row r="39" spans="2:10" x14ac:dyDescent="0.25">
      <c r="B39" s="163">
        <f t="shared" si="1"/>
        <v>9</v>
      </c>
      <c r="C39" s="53">
        <f t="shared" si="2"/>
        <v>35</v>
      </c>
      <c r="D39" s="55">
        <v>0.05</v>
      </c>
      <c r="E39" s="55">
        <v>2.5000000000000001E-2</v>
      </c>
      <c r="F39" s="55">
        <v>2.75E-2</v>
      </c>
      <c r="G39" s="57">
        <v>0.03</v>
      </c>
      <c r="H39" s="57">
        <v>0</v>
      </c>
      <c r="I39" s="53">
        <v>0</v>
      </c>
      <c r="J39" s="58">
        <v>0</v>
      </c>
    </row>
    <row r="40" spans="2:10" x14ac:dyDescent="0.25">
      <c r="B40" s="163">
        <f t="shared" si="1"/>
        <v>10</v>
      </c>
      <c r="C40" s="53">
        <f t="shared" si="2"/>
        <v>35</v>
      </c>
      <c r="D40" s="55">
        <v>0.05</v>
      </c>
      <c r="E40" s="55">
        <v>2.5000000000000001E-2</v>
      </c>
      <c r="F40" s="55">
        <v>2.75E-2</v>
      </c>
      <c r="G40" s="57">
        <v>0.03</v>
      </c>
      <c r="H40" s="57">
        <v>0</v>
      </c>
      <c r="I40" s="53">
        <v>0</v>
      </c>
      <c r="J40" s="58">
        <v>0</v>
      </c>
    </row>
    <row r="41" spans="2:10" x14ac:dyDescent="0.25">
      <c r="B41" s="163">
        <f t="shared" si="1"/>
        <v>11</v>
      </c>
      <c r="C41" s="53">
        <f t="shared" si="2"/>
        <v>35</v>
      </c>
      <c r="D41" s="55">
        <v>0.05</v>
      </c>
      <c r="E41" s="55">
        <v>2.5000000000000001E-2</v>
      </c>
      <c r="F41" s="55">
        <v>2.75E-2</v>
      </c>
      <c r="G41" s="57">
        <v>0.03</v>
      </c>
      <c r="H41" s="57">
        <v>0</v>
      </c>
      <c r="I41" s="53">
        <v>0</v>
      </c>
      <c r="J41" s="58">
        <v>0</v>
      </c>
    </row>
    <row r="42" spans="2:10" x14ac:dyDescent="0.25">
      <c r="B42" s="163">
        <f t="shared" si="1"/>
        <v>12</v>
      </c>
      <c r="C42" s="53">
        <f t="shared" si="2"/>
        <v>35</v>
      </c>
      <c r="D42" s="55">
        <v>0.05</v>
      </c>
      <c r="E42" s="55">
        <v>2.5000000000000001E-2</v>
      </c>
      <c r="F42" s="55">
        <v>2.75E-2</v>
      </c>
      <c r="G42" s="57">
        <v>0.03</v>
      </c>
      <c r="H42" s="57">
        <v>0</v>
      </c>
      <c r="I42" s="53">
        <v>0</v>
      </c>
      <c r="J42" s="58">
        <v>0</v>
      </c>
    </row>
    <row r="43" spans="2:10" x14ac:dyDescent="0.25">
      <c r="B43" s="163">
        <f t="shared" si="1"/>
        <v>13</v>
      </c>
      <c r="C43" s="53">
        <f t="shared" si="2"/>
        <v>35</v>
      </c>
      <c r="D43" s="55">
        <v>0.05</v>
      </c>
      <c r="E43" s="55">
        <v>2.5000000000000001E-2</v>
      </c>
      <c r="F43" s="55">
        <v>2.75E-2</v>
      </c>
      <c r="G43" s="57">
        <v>0.03</v>
      </c>
      <c r="H43" s="57">
        <v>0</v>
      </c>
      <c r="I43" s="53">
        <v>0</v>
      </c>
      <c r="J43" s="58">
        <v>0</v>
      </c>
    </row>
    <row r="44" spans="2:10" x14ac:dyDescent="0.25">
      <c r="B44" s="163">
        <f t="shared" si="1"/>
        <v>14</v>
      </c>
      <c r="C44" s="53">
        <f t="shared" si="2"/>
        <v>35</v>
      </c>
      <c r="D44" s="55">
        <v>0.05</v>
      </c>
      <c r="E44" s="55">
        <v>2.5000000000000001E-2</v>
      </c>
      <c r="F44" s="55">
        <v>2.75E-2</v>
      </c>
      <c r="G44" s="57">
        <v>0.03</v>
      </c>
      <c r="H44" s="57">
        <v>0</v>
      </c>
      <c r="I44" s="53">
        <v>0</v>
      </c>
      <c r="J44" s="58">
        <v>0</v>
      </c>
    </row>
    <row r="45" spans="2:10" x14ac:dyDescent="0.25">
      <c r="B45" s="163">
        <f t="shared" si="1"/>
        <v>15</v>
      </c>
      <c r="C45" s="53">
        <f t="shared" si="2"/>
        <v>35</v>
      </c>
      <c r="D45" s="55">
        <v>0.05</v>
      </c>
      <c r="E45" s="55">
        <v>2.5000000000000001E-2</v>
      </c>
      <c r="F45" s="55">
        <v>2.75E-2</v>
      </c>
      <c r="G45" s="57">
        <v>0.03</v>
      </c>
      <c r="H45" s="57">
        <v>0</v>
      </c>
      <c r="I45" s="53">
        <v>0</v>
      </c>
      <c r="J45" s="58">
        <v>0</v>
      </c>
    </row>
    <row r="46" spans="2:10" x14ac:dyDescent="0.25">
      <c r="B46" s="163">
        <f t="shared" si="1"/>
        <v>16</v>
      </c>
      <c r="C46" s="53">
        <f t="shared" si="2"/>
        <v>35</v>
      </c>
      <c r="D46" s="55">
        <v>0.05</v>
      </c>
      <c r="E46" s="55">
        <v>2.5000000000000001E-2</v>
      </c>
      <c r="F46" s="55">
        <v>2.75E-2</v>
      </c>
      <c r="G46" s="57">
        <v>0.03</v>
      </c>
      <c r="H46" s="57">
        <v>0</v>
      </c>
      <c r="I46" s="53">
        <v>0</v>
      </c>
      <c r="J46" s="58">
        <v>0</v>
      </c>
    </row>
    <row r="47" spans="2:10" x14ac:dyDescent="0.25">
      <c r="B47" s="163">
        <f t="shared" si="1"/>
        <v>17</v>
      </c>
      <c r="C47" s="53">
        <f t="shared" si="2"/>
        <v>35</v>
      </c>
      <c r="D47" s="55">
        <v>0.05</v>
      </c>
      <c r="E47" s="55">
        <v>2.5000000000000001E-2</v>
      </c>
      <c r="F47" s="55">
        <v>2.75E-2</v>
      </c>
      <c r="G47" s="57">
        <v>0.03</v>
      </c>
      <c r="H47" s="57">
        <v>0</v>
      </c>
      <c r="I47" s="53">
        <v>0</v>
      </c>
      <c r="J47" s="58">
        <v>0</v>
      </c>
    </row>
    <row r="48" spans="2:10" x14ac:dyDescent="0.25">
      <c r="B48" s="163">
        <f t="shared" si="1"/>
        <v>18</v>
      </c>
      <c r="C48" s="53">
        <f t="shared" si="2"/>
        <v>35</v>
      </c>
      <c r="D48" s="55">
        <v>0.05</v>
      </c>
      <c r="E48" s="55">
        <v>2.5000000000000001E-2</v>
      </c>
      <c r="F48" s="55">
        <v>2.75E-2</v>
      </c>
      <c r="G48" s="57">
        <v>0.03</v>
      </c>
      <c r="H48" s="57">
        <v>0</v>
      </c>
      <c r="I48" s="53">
        <v>0</v>
      </c>
      <c r="J48" s="58">
        <v>0</v>
      </c>
    </row>
    <row r="49" spans="2:11" x14ac:dyDescent="0.25">
      <c r="B49" s="163">
        <f t="shared" si="1"/>
        <v>19</v>
      </c>
      <c r="C49" s="53">
        <f t="shared" si="2"/>
        <v>35</v>
      </c>
      <c r="D49" s="55">
        <v>0.05</v>
      </c>
      <c r="E49" s="55">
        <v>2.5000000000000001E-2</v>
      </c>
      <c r="F49" s="55">
        <v>2.75E-2</v>
      </c>
      <c r="G49" s="57">
        <v>0.03</v>
      </c>
      <c r="H49" s="57">
        <v>0</v>
      </c>
      <c r="I49" s="53">
        <v>0</v>
      </c>
      <c r="J49" s="58">
        <v>0</v>
      </c>
    </row>
    <row r="50" spans="2:11" ht="15.75" thickBot="1" x14ac:dyDescent="0.3">
      <c r="B50" s="95">
        <f t="shared" si="1"/>
        <v>20</v>
      </c>
      <c r="C50" s="54">
        <f t="shared" si="2"/>
        <v>35</v>
      </c>
      <c r="D50" s="56">
        <v>0.05</v>
      </c>
      <c r="E50" s="56">
        <v>2.5000000000000001E-2</v>
      </c>
      <c r="F50" s="56">
        <v>2.75E-2</v>
      </c>
      <c r="G50" s="59">
        <v>0.03</v>
      </c>
      <c r="H50" s="59">
        <v>0</v>
      </c>
      <c r="I50" s="54">
        <v>0</v>
      </c>
      <c r="J50" s="60">
        <v>0</v>
      </c>
    </row>
    <row r="51" spans="2:11" x14ac:dyDescent="0.25">
      <c r="B51" s="291"/>
      <c r="C51" s="146">
        <f>J26-1</f>
        <v>-9</v>
      </c>
      <c r="D51" s="146">
        <f t="shared" ref="D51:K51" si="3">C51-1</f>
        <v>-10</v>
      </c>
      <c r="E51" s="146">
        <f t="shared" si="3"/>
        <v>-11</v>
      </c>
      <c r="F51" s="146">
        <f t="shared" si="3"/>
        <v>-12</v>
      </c>
      <c r="G51" s="146">
        <f t="shared" si="3"/>
        <v>-13</v>
      </c>
      <c r="H51" s="146">
        <f t="shared" si="3"/>
        <v>-14</v>
      </c>
      <c r="I51" s="146">
        <f t="shared" si="3"/>
        <v>-15</v>
      </c>
      <c r="J51" s="146">
        <f t="shared" si="3"/>
        <v>-16</v>
      </c>
      <c r="K51" s="146">
        <f t="shared" si="3"/>
        <v>-17</v>
      </c>
    </row>
    <row r="52" spans="2:11" x14ac:dyDescent="0.25">
      <c r="B52" s="291"/>
      <c r="C52" s="291" t="s">
        <v>225</v>
      </c>
      <c r="D52" s="291"/>
      <c r="E52" s="291"/>
      <c r="F52" s="291" t="s">
        <v>172</v>
      </c>
      <c r="G52" s="291"/>
      <c r="H52" s="291" t="s">
        <v>226</v>
      </c>
      <c r="I52" s="291"/>
      <c r="J52" s="291"/>
      <c r="K52" s="291" t="s">
        <v>177</v>
      </c>
    </row>
    <row r="53" spans="2:11" x14ac:dyDescent="0.25">
      <c r="B53" s="291" t="s">
        <v>3</v>
      </c>
      <c r="C53" s="291" t="s">
        <v>230</v>
      </c>
      <c r="D53" s="291" t="s">
        <v>231</v>
      </c>
      <c r="E53" s="291" t="s">
        <v>177</v>
      </c>
      <c r="F53" s="291" t="s">
        <v>176</v>
      </c>
      <c r="G53" s="291" t="s">
        <v>16</v>
      </c>
      <c r="H53" s="291" t="s">
        <v>232</v>
      </c>
      <c r="I53" s="291" t="s">
        <v>178</v>
      </c>
      <c r="J53" s="291" t="s">
        <v>23</v>
      </c>
      <c r="K53" s="291" t="s">
        <v>175</v>
      </c>
    </row>
    <row r="54" spans="2:11" ht="15.75" thickBot="1" x14ac:dyDescent="0.3">
      <c r="B54" s="145" t="s">
        <v>7</v>
      </c>
      <c r="C54" s="145" t="s">
        <v>233</v>
      </c>
      <c r="D54" s="145" t="s">
        <v>234</v>
      </c>
      <c r="E54" s="145" t="s">
        <v>78</v>
      </c>
      <c r="F54" s="145" t="s">
        <v>179</v>
      </c>
      <c r="G54" s="145" t="s">
        <v>180</v>
      </c>
      <c r="H54" s="145" t="s">
        <v>32</v>
      </c>
      <c r="I54" s="145" t="s">
        <v>182</v>
      </c>
      <c r="J54" s="145" t="s">
        <v>182</v>
      </c>
      <c r="K54" s="145" t="s">
        <v>78</v>
      </c>
    </row>
    <row r="55" spans="2:11" x14ac:dyDescent="0.25">
      <c r="B55" s="93"/>
      <c r="C55" s="101"/>
      <c r="D55" s="101"/>
      <c r="E55" s="101"/>
      <c r="F55" s="101"/>
      <c r="G55" s="101"/>
      <c r="H55" s="101"/>
      <c r="I55" s="101"/>
      <c r="J55" s="101"/>
      <c r="K55" s="102"/>
    </row>
    <row r="56" spans="2:11" x14ac:dyDescent="0.25">
      <c r="B56" s="163">
        <v>1</v>
      </c>
      <c r="C56" s="53">
        <v>50</v>
      </c>
      <c r="D56" s="55">
        <v>2.2499999999999999E-2</v>
      </c>
      <c r="E56" s="61">
        <v>1.6000000000000001E-3</v>
      </c>
      <c r="F56" s="55">
        <v>0.02</v>
      </c>
      <c r="G56" s="62">
        <v>20</v>
      </c>
      <c r="H56" s="63">
        <v>20</v>
      </c>
      <c r="I56" s="64">
        <v>8.0000000000000004E-4</v>
      </c>
      <c r="J56" s="57">
        <v>0.15</v>
      </c>
      <c r="K56" s="65">
        <f t="shared" ref="K56:K75" si="4">E56*$S$21</f>
        <v>1.6480000000000002E-3</v>
      </c>
    </row>
    <row r="57" spans="2:11" x14ac:dyDescent="0.25">
      <c r="B57" s="163">
        <f t="shared" ref="B57:B75" si="5">B56+1</f>
        <v>2</v>
      </c>
      <c r="C57" s="53">
        <v>50</v>
      </c>
      <c r="D57" s="55">
        <v>2.2499999999999999E-2</v>
      </c>
      <c r="E57" s="61">
        <v>2.2000000000000001E-3</v>
      </c>
      <c r="F57" s="55">
        <v>0.02</v>
      </c>
      <c r="G57" s="62">
        <v>20</v>
      </c>
      <c r="H57" s="63">
        <f t="shared" ref="H57:H65" si="6">H56-2</f>
        <v>18</v>
      </c>
      <c r="I57" s="64">
        <v>1.1000000000000001E-3</v>
      </c>
      <c r="J57" s="57">
        <v>0.12</v>
      </c>
      <c r="K57" s="65">
        <f t="shared" si="4"/>
        <v>2.2660000000000002E-3</v>
      </c>
    </row>
    <row r="58" spans="2:11" x14ac:dyDescent="0.25">
      <c r="B58" s="163">
        <f t="shared" si="5"/>
        <v>3</v>
      </c>
      <c r="C58" s="53">
        <v>50</v>
      </c>
      <c r="D58" s="55">
        <v>2.2499999999999999E-2</v>
      </c>
      <c r="E58" s="61">
        <v>2.8600000000000001E-3</v>
      </c>
      <c r="F58" s="55">
        <v>0.02</v>
      </c>
      <c r="G58" s="62">
        <v>20</v>
      </c>
      <c r="H58" s="63">
        <f t="shared" si="6"/>
        <v>16</v>
      </c>
      <c r="I58" s="64">
        <v>1.4300000000000001E-3</v>
      </c>
      <c r="J58" s="57">
        <v>0.1</v>
      </c>
      <c r="K58" s="65">
        <f t="shared" si="4"/>
        <v>2.9458000000000002E-3</v>
      </c>
    </row>
    <row r="59" spans="2:11" x14ac:dyDescent="0.25">
      <c r="B59" s="163">
        <f t="shared" si="5"/>
        <v>4</v>
      </c>
      <c r="C59" s="53">
        <v>50</v>
      </c>
      <c r="D59" s="55">
        <v>2.2499999999999999E-2</v>
      </c>
      <c r="E59" s="61">
        <v>3.4199999999999999E-3</v>
      </c>
      <c r="F59" s="55">
        <v>0.02</v>
      </c>
      <c r="G59" s="62">
        <v>20</v>
      </c>
      <c r="H59" s="63">
        <f t="shared" si="6"/>
        <v>14</v>
      </c>
      <c r="I59" s="64">
        <v>1.7099999999999999E-3</v>
      </c>
      <c r="J59" s="57">
        <v>0.09</v>
      </c>
      <c r="K59" s="65">
        <f t="shared" si="4"/>
        <v>3.5225999999999999E-3</v>
      </c>
    </row>
    <row r="60" spans="2:11" x14ac:dyDescent="0.25">
      <c r="B60" s="163">
        <f t="shared" si="5"/>
        <v>5</v>
      </c>
      <c r="C60" s="53">
        <v>50</v>
      </c>
      <c r="D60" s="55">
        <v>2.2499999999999999E-2</v>
      </c>
      <c r="E60" s="61">
        <v>3.8800000000000002E-3</v>
      </c>
      <c r="F60" s="55">
        <v>0.02</v>
      </c>
      <c r="G60" s="62">
        <v>20</v>
      </c>
      <c r="H60" s="63">
        <f t="shared" si="6"/>
        <v>12</v>
      </c>
      <c r="I60" s="64">
        <v>1.9400000000000001E-3</v>
      </c>
      <c r="J60" s="57">
        <v>0.08</v>
      </c>
      <c r="K60" s="65">
        <f t="shared" si="4"/>
        <v>3.9964000000000006E-3</v>
      </c>
    </row>
    <row r="61" spans="2:11" x14ac:dyDescent="0.25">
      <c r="B61" s="163">
        <f t="shared" si="5"/>
        <v>6</v>
      </c>
      <c r="C61" s="53">
        <v>50</v>
      </c>
      <c r="D61" s="55">
        <v>2.2499999999999999E-2</v>
      </c>
      <c r="E61" s="61">
        <v>3.9960000000000004E-3</v>
      </c>
      <c r="F61" s="55">
        <v>0.02</v>
      </c>
      <c r="G61" s="62">
        <v>20</v>
      </c>
      <c r="H61" s="63">
        <f t="shared" si="6"/>
        <v>10</v>
      </c>
      <c r="I61" s="64">
        <v>2.2200000000000002E-3</v>
      </c>
      <c r="J61" s="57">
        <v>7.0000000000000007E-2</v>
      </c>
      <c r="K61" s="65">
        <f t="shared" si="4"/>
        <v>4.1158800000000006E-3</v>
      </c>
    </row>
    <row r="62" spans="2:11" x14ac:dyDescent="0.25">
      <c r="B62" s="163">
        <f t="shared" si="5"/>
        <v>7</v>
      </c>
      <c r="C62" s="53">
        <v>50</v>
      </c>
      <c r="D62" s="55">
        <v>2.2499999999999999E-2</v>
      </c>
      <c r="E62" s="61">
        <v>4.0480000000000004E-3</v>
      </c>
      <c r="F62" s="55">
        <v>0.02</v>
      </c>
      <c r="G62" s="62">
        <v>20</v>
      </c>
      <c r="H62" s="63">
        <f t="shared" si="6"/>
        <v>8</v>
      </c>
      <c r="I62" s="64">
        <v>2.5300000000000001E-3</v>
      </c>
      <c r="J62" s="57">
        <v>0.06</v>
      </c>
      <c r="K62" s="65">
        <f t="shared" si="4"/>
        <v>4.1694400000000008E-3</v>
      </c>
    </row>
    <row r="63" spans="2:11" x14ac:dyDescent="0.25">
      <c r="B63" s="163">
        <f t="shared" si="5"/>
        <v>8</v>
      </c>
      <c r="C63" s="53">
        <v>50</v>
      </c>
      <c r="D63" s="55">
        <v>2.2499999999999999E-2</v>
      </c>
      <c r="E63" s="61">
        <v>3.9620000000000002E-3</v>
      </c>
      <c r="F63" s="55">
        <v>0.02</v>
      </c>
      <c r="G63" s="62">
        <v>20</v>
      </c>
      <c r="H63" s="63">
        <f t="shared" si="6"/>
        <v>6</v>
      </c>
      <c r="I63" s="64">
        <v>2.8300000000000001E-3</v>
      </c>
      <c r="J63" s="57">
        <v>0.05</v>
      </c>
      <c r="K63" s="65">
        <f t="shared" si="4"/>
        <v>4.0808600000000004E-3</v>
      </c>
    </row>
    <row r="64" spans="2:11" x14ac:dyDescent="0.25">
      <c r="B64" s="163">
        <f t="shared" si="5"/>
        <v>9</v>
      </c>
      <c r="C64" s="53">
        <v>50</v>
      </c>
      <c r="D64" s="55">
        <v>2.2499999999999999E-2</v>
      </c>
      <c r="E64" s="61">
        <v>3.7319999999999996E-3</v>
      </c>
      <c r="F64" s="55">
        <v>0.02</v>
      </c>
      <c r="G64" s="62">
        <v>20</v>
      </c>
      <c r="H64" s="63">
        <f t="shared" si="6"/>
        <v>4</v>
      </c>
      <c r="I64" s="64">
        <v>3.1099999999999999E-3</v>
      </c>
      <c r="J64" s="57">
        <v>0.04</v>
      </c>
      <c r="K64" s="65">
        <f t="shared" si="4"/>
        <v>3.8439599999999996E-3</v>
      </c>
    </row>
    <row r="65" spans="2:11" x14ac:dyDescent="0.25">
      <c r="B65" s="163">
        <f t="shared" si="5"/>
        <v>10</v>
      </c>
      <c r="C65" s="53">
        <v>50</v>
      </c>
      <c r="D65" s="55">
        <v>2.2499999999999999E-2</v>
      </c>
      <c r="E65" s="61">
        <v>3.4499999999999999E-3</v>
      </c>
      <c r="F65" s="55">
        <v>0.02</v>
      </c>
      <c r="G65" s="62">
        <v>20</v>
      </c>
      <c r="H65" s="63">
        <f t="shared" si="6"/>
        <v>2</v>
      </c>
      <c r="I65" s="64">
        <v>3.4499999999999999E-3</v>
      </c>
      <c r="J65" s="57">
        <v>0.04</v>
      </c>
      <c r="K65" s="65">
        <f t="shared" si="4"/>
        <v>3.5535000000000002E-3</v>
      </c>
    </row>
    <row r="66" spans="2:11" x14ac:dyDescent="0.25">
      <c r="B66" s="163">
        <f t="shared" si="5"/>
        <v>11</v>
      </c>
      <c r="C66" s="53">
        <v>50</v>
      </c>
      <c r="D66" s="55">
        <v>2.2499999999999999E-2</v>
      </c>
      <c r="E66" s="61">
        <v>3.5190000000000004E-3</v>
      </c>
      <c r="F66" s="55">
        <v>0.02</v>
      </c>
      <c r="G66" s="62">
        <v>20</v>
      </c>
      <c r="H66" s="63">
        <v>0</v>
      </c>
      <c r="I66" s="64">
        <v>3.9100000000000003E-3</v>
      </c>
      <c r="J66" s="57">
        <v>0.04</v>
      </c>
      <c r="K66" s="65">
        <f t="shared" si="4"/>
        <v>3.6245700000000006E-3</v>
      </c>
    </row>
    <row r="67" spans="2:11" x14ac:dyDescent="0.25">
      <c r="B67" s="163">
        <f t="shared" si="5"/>
        <v>12</v>
      </c>
      <c r="C67" s="53">
        <v>50</v>
      </c>
      <c r="D67" s="55">
        <v>2.2499999999999999E-2</v>
      </c>
      <c r="E67" s="61">
        <v>4.1310000000000001E-3</v>
      </c>
      <c r="F67" s="55">
        <v>0.02</v>
      </c>
      <c r="G67" s="62">
        <v>20</v>
      </c>
      <c r="H67" s="63">
        <v>0</v>
      </c>
      <c r="I67" s="64">
        <v>4.5900000000000003E-3</v>
      </c>
      <c r="J67" s="57">
        <v>0.04</v>
      </c>
      <c r="K67" s="65">
        <f t="shared" si="4"/>
        <v>4.2549300000000005E-3</v>
      </c>
    </row>
    <row r="68" spans="2:11" x14ac:dyDescent="0.25">
      <c r="B68" s="163">
        <f t="shared" si="5"/>
        <v>13</v>
      </c>
      <c r="C68" s="53">
        <v>50</v>
      </c>
      <c r="D68" s="55">
        <v>2.2499999999999999E-2</v>
      </c>
      <c r="E68" s="61">
        <v>4.8419999999999999E-3</v>
      </c>
      <c r="F68" s="55">
        <v>0.02</v>
      </c>
      <c r="G68" s="62">
        <v>20</v>
      </c>
      <c r="H68" s="63">
        <v>0</v>
      </c>
      <c r="I68" s="64">
        <v>5.3800000000000002E-3</v>
      </c>
      <c r="J68" s="57">
        <v>0.04</v>
      </c>
      <c r="K68" s="65">
        <f t="shared" si="4"/>
        <v>4.9872600000000003E-3</v>
      </c>
    </row>
    <row r="69" spans="2:11" x14ac:dyDescent="0.25">
      <c r="B69" s="163">
        <f t="shared" si="5"/>
        <v>14</v>
      </c>
      <c r="C69" s="53">
        <v>50</v>
      </c>
      <c r="D69" s="55">
        <v>2.2499999999999999E-2</v>
      </c>
      <c r="E69" s="61">
        <v>5.5439999999999994E-3</v>
      </c>
      <c r="F69" s="55">
        <v>0.02</v>
      </c>
      <c r="G69" s="62">
        <v>20</v>
      </c>
      <c r="H69" s="63">
        <v>0</v>
      </c>
      <c r="I69" s="64">
        <v>6.1599999999999997E-3</v>
      </c>
      <c r="J69" s="57">
        <v>0.04</v>
      </c>
      <c r="K69" s="65">
        <f t="shared" si="4"/>
        <v>5.7103199999999996E-3</v>
      </c>
    </row>
    <row r="70" spans="2:11" x14ac:dyDescent="0.25">
      <c r="B70" s="163">
        <f t="shared" si="5"/>
        <v>15</v>
      </c>
      <c r="C70" s="53">
        <v>50</v>
      </c>
      <c r="D70" s="55">
        <v>2.2499999999999999E-2</v>
      </c>
      <c r="E70" s="61">
        <v>6.2370000000000004E-3</v>
      </c>
      <c r="F70" s="55">
        <v>0.02</v>
      </c>
      <c r="G70" s="62">
        <v>20</v>
      </c>
      <c r="H70" s="63">
        <v>0</v>
      </c>
      <c r="I70" s="64">
        <v>6.9300000000000004E-3</v>
      </c>
      <c r="J70" s="57">
        <v>0.04</v>
      </c>
      <c r="K70" s="65">
        <f t="shared" si="4"/>
        <v>6.4241100000000002E-3</v>
      </c>
    </row>
    <row r="71" spans="2:11" x14ac:dyDescent="0.25">
      <c r="B71" s="163">
        <f t="shared" si="5"/>
        <v>16</v>
      </c>
      <c r="C71" s="53">
        <v>50</v>
      </c>
      <c r="D71" s="55">
        <v>2.2499999999999999E-2</v>
      </c>
      <c r="E71" s="61">
        <v>6.9930000000000001E-3</v>
      </c>
      <c r="F71" s="55">
        <v>0.02</v>
      </c>
      <c r="G71" s="62">
        <v>20</v>
      </c>
      <c r="H71" s="63">
        <v>0</v>
      </c>
      <c r="I71" s="64">
        <v>7.77E-3</v>
      </c>
      <c r="J71" s="57">
        <v>0.04</v>
      </c>
      <c r="K71" s="65">
        <f t="shared" si="4"/>
        <v>7.2027900000000006E-3</v>
      </c>
    </row>
    <row r="72" spans="2:11" x14ac:dyDescent="0.25">
      <c r="B72" s="163">
        <f t="shared" si="5"/>
        <v>17</v>
      </c>
      <c r="C72" s="53">
        <v>50</v>
      </c>
      <c r="D72" s="55">
        <v>2.2499999999999999E-2</v>
      </c>
      <c r="E72" s="61">
        <v>7.6319999999999999E-3</v>
      </c>
      <c r="F72" s="55">
        <v>0.02</v>
      </c>
      <c r="G72" s="62">
        <v>20</v>
      </c>
      <c r="H72" s="63">
        <v>0</v>
      </c>
      <c r="I72" s="64">
        <v>8.4799999999999997E-3</v>
      </c>
      <c r="J72" s="57">
        <v>0.04</v>
      </c>
      <c r="K72" s="65">
        <f t="shared" si="4"/>
        <v>7.8609600000000002E-3</v>
      </c>
    </row>
    <row r="73" spans="2:11" x14ac:dyDescent="0.25">
      <c r="B73" s="163">
        <f t="shared" si="5"/>
        <v>18</v>
      </c>
      <c r="C73" s="53">
        <v>50</v>
      </c>
      <c r="D73" s="55">
        <v>2.2499999999999999E-2</v>
      </c>
      <c r="E73" s="61">
        <v>8.369999999999999E-3</v>
      </c>
      <c r="F73" s="55">
        <v>0.02</v>
      </c>
      <c r="G73" s="62">
        <v>20</v>
      </c>
      <c r="H73" s="63">
        <v>0</v>
      </c>
      <c r="I73" s="64">
        <v>9.2999999999999992E-3</v>
      </c>
      <c r="J73" s="57">
        <v>0.04</v>
      </c>
      <c r="K73" s="65">
        <f t="shared" si="4"/>
        <v>8.6210999999999996E-3</v>
      </c>
    </row>
    <row r="74" spans="2:11" x14ac:dyDescent="0.25">
      <c r="B74" s="163">
        <f t="shared" si="5"/>
        <v>19</v>
      </c>
      <c r="C74" s="53">
        <v>50</v>
      </c>
      <c r="D74" s="55">
        <v>2.2499999999999999E-2</v>
      </c>
      <c r="E74" s="61">
        <v>9.1979999999999996E-3</v>
      </c>
      <c r="F74" s="55">
        <v>0.02</v>
      </c>
      <c r="G74" s="62">
        <v>20</v>
      </c>
      <c r="H74" s="63">
        <v>0</v>
      </c>
      <c r="I74" s="64">
        <v>1.022E-2</v>
      </c>
      <c r="J74" s="57">
        <v>0.04</v>
      </c>
      <c r="K74" s="65">
        <f t="shared" si="4"/>
        <v>9.4739400000000001E-3</v>
      </c>
    </row>
    <row r="75" spans="2:11" ht="15.75" thickBot="1" x14ac:dyDescent="0.3">
      <c r="B75" s="95">
        <f t="shared" si="5"/>
        <v>20</v>
      </c>
      <c r="C75" s="54">
        <v>50</v>
      </c>
      <c r="D75" s="56">
        <v>2.2499999999999999E-2</v>
      </c>
      <c r="E75" s="66">
        <v>1.0125E-2</v>
      </c>
      <c r="F75" s="56">
        <v>0.02</v>
      </c>
      <c r="G75" s="67">
        <v>20</v>
      </c>
      <c r="H75" s="68">
        <v>0</v>
      </c>
      <c r="I75" s="69">
        <v>1.125E-2</v>
      </c>
      <c r="J75" s="59">
        <v>1</v>
      </c>
      <c r="K75" s="70">
        <f t="shared" si="4"/>
        <v>1.0428750000000001E-2</v>
      </c>
    </row>
  </sheetData>
  <mergeCells count="4">
    <mergeCell ref="F11:I11"/>
    <mergeCell ref="F10:I10"/>
    <mergeCell ref="B24:J24"/>
    <mergeCell ref="B25:J25"/>
  </mergeCells>
  <dataValidations disablePrompts="1" count="1">
    <dataValidation type="list" allowBlank="1" showInputMessage="1" showErrorMessage="1" sqref="I13" xr:uid="{A72CEAF6-D778-45F7-B85B-B640AEDBD3E5}">
      <formula1>"Yes, No"</formula1>
    </dataValidation>
  </dataValidations>
  <pageMargins left="0.7" right="0.7" top="0.75" bottom="0.75" header="0.3" footer="0.3"/>
  <pageSetup orientation="portrait" r:id="rId1"/>
  <customProperties>
    <customPr name="EpmWorksheetKeyString_GUID" r:id="rId2"/>
  </customProperties>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dimension ref="A1:N70"/>
  <sheetViews>
    <sheetView showGridLines="0" workbookViewId="0">
      <selection activeCell="V14" sqref="V14"/>
    </sheetView>
  </sheetViews>
  <sheetFormatPr defaultColWidth="8.5703125" defaultRowHeight="15" x14ac:dyDescent="0.25"/>
  <cols>
    <col min="1" max="1" width="25.42578125" style="81" bestFit="1" customWidth="1"/>
    <col min="2" max="2" width="8.85546875" style="75" customWidth="1"/>
    <col min="3" max="3" width="9.42578125" style="75" customWidth="1"/>
    <col min="4" max="4" width="8.5703125" style="75" customWidth="1"/>
    <col min="5" max="5" width="10.5703125" style="75" customWidth="1"/>
    <col min="6" max="6" width="10.85546875" style="75" customWidth="1"/>
    <col min="7" max="7" width="8.42578125" style="343" customWidth="1"/>
    <col min="8" max="8" width="8.5703125" style="75" customWidth="1"/>
    <col min="9" max="9" width="8.42578125" style="75" customWidth="1"/>
    <col min="10" max="10" width="9.140625" style="75" customWidth="1"/>
    <col min="11" max="11" width="9" style="87" customWidth="1"/>
    <col min="12" max="12" width="15.5703125" style="343" customWidth="1"/>
    <col min="13" max="13" width="12.140625" style="75" customWidth="1"/>
    <col min="14" max="14" width="11.42578125" style="75" bestFit="1" customWidth="1"/>
    <col min="15" max="15" width="8.5703125" style="75"/>
    <col min="16" max="16" width="11.42578125" style="75" bestFit="1" customWidth="1"/>
    <col min="17" max="17" width="11" style="75" bestFit="1" customWidth="1"/>
    <col min="18" max="16384" width="8.5703125" style="75"/>
  </cols>
  <sheetData>
    <row r="1" spans="1:14" x14ac:dyDescent="0.25">
      <c r="A1" s="76" t="s">
        <v>368</v>
      </c>
    </row>
    <row r="2" spans="1:14" x14ac:dyDescent="0.25">
      <c r="A2" s="45" t="s">
        <v>369</v>
      </c>
    </row>
    <row r="3" spans="1:14" x14ac:dyDescent="0.25">
      <c r="A3" s="78" t="s">
        <v>370</v>
      </c>
    </row>
    <row r="4" spans="1:14" x14ac:dyDescent="0.25">
      <c r="A4" s="79" t="s">
        <v>379</v>
      </c>
    </row>
    <row r="6" spans="1:14" x14ac:dyDescent="0.25">
      <c r="A6" s="38" t="s">
        <v>313</v>
      </c>
    </row>
    <row r="7" spans="1:14" x14ac:dyDescent="0.25">
      <c r="A7" s="38" t="s">
        <v>46</v>
      </c>
    </row>
    <row r="8" spans="1:14" x14ac:dyDescent="0.25">
      <c r="A8" s="38" t="s">
        <v>235</v>
      </c>
    </row>
    <row r="9" spans="1:14" x14ac:dyDescent="0.25">
      <c r="A9" s="38"/>
    </row>
    <row r="10" spans="1:14" x14ac:dyDescent="0.25">
      <c r="A10" s="39" t="s">
        <v>236</v>
      </c>
    </row>
    <row r="11" spans="1:14" ht="15.75" thickBot="1" x14ac:dyDescent="0.3">
      <c r="A11" s="39"/>
      <c r="G11" s="344"/>
    </row>
    <row r="12" spans="1:14" x14ac:dyDescent="0.25">
      <c r="A12" s="431" t="s">
        <v>313</v>
      </c>
      <c r="B12" s="432"/>
      <c r="C12" s="432"/>
      <c r="D12" s="432"/>
      <c r="E12" s="432"/>
      <c r="F12" s="432"/>
      <c r="G12" s="432"/>
      <c r="H12" s="432"/>
      <c r="I12" s="432"/>
      <c r="J12" s="432"/>
      <c r="K12" s="433"/>
      <c r="M12" s="82"/>
      <c r="N12" s="82"/>
    </row>
    <row r="13" spans="1:14" ht="15.75" thickBot="1" x14ac:dyDescent="0.3">
      <c r="A13" s="434" t="s">
        <v>314</v>
      </c>
      <c r="B13" s="435"/>
      <c r="C13" s="435"/>
      <c r="D13" s="435"/>
      <c r="E13" s="435"/>
      <c r="F13" s="435"/>
      <c r="G13" s="435"/>
      <c r="H13" s="435"/>
      <c r="I13" s="435"/>
      <c r="J13" s="435"/>
      <c r="K13" s="436"/>
      <c r="M13" s="82"/>
      <c r="N13" s="82"/>
    </row>
    <row r="14" spans="1:14" x14ac:dyDescent="0.25">
      <c r="A14" s="289"/>
      <c r="B14" s="146">
        <f>A14-1</f>
        <v>-1</v>
      </c>
      <c r="C14" s="146">
        <f t="shared" ref="C14:K14" si="0">B14-1</f>
        <v>-2</v>
      </c>
      <c r="D14" s="146">
        <f t="shared" si="0"/>
        <v>-3</v>
      </c>
      <c r="E14" s="146">
        <f t="shared" si="0"/>
        <v>-4</v>
      </c>
      <c r="F14" s="146">
        <f t="shared" si="0"/>
        <v>-5</v>
      </c>
      <c r="G14" s="146">
        <f t="shared" si="0"/>
        <v>-6</v>
      </c>
      <c r="H14" s="146">
        <f t="shared" si="0"/>
        <v>-7</v>
      </c>
      <c r="I14" s="146">
        <f t="shared" si="0"/>
        <v>-8</v>
      </c>
      <c r="J14" s="146">
        <f t="shared" si="0"/>
        <v>-9</v>
      </c>
      <c r="K14" s="146">
        <f t="shared" si="0"/>
        <v>-10</v>
      </c>
      <c r="M14" s="82"/>
      <c r="N14" s="82"/>
    </row>
    <row r="15" spans="1:14" x14ac:dyDescent="0.25">
      <c r="A15" s="291"/>
      <c r="B15" s="291"/>
      <c r="D15" s="291"/>
      <c r="E15" s="291"/>
      <c r="F15" s="291"/>
      <c r="G15" s="347" t="s">
        <v>319</v>
      </c>
      <c r="H15" s="291" t="s">
        <v>317</v>
      </c>
      <c r="I15" s="291"/>
      <c r="J15" s="291" t="s">
        <v>33</v>
      </c>
      <c r="K15" s="348"/>
      <c r="M15" s="82"/>
      <c r="N15" s="82"/>
    </row>
    <row r="16" spans="1:14" x14ac:dyDescent="0.25">
      <c r="A16" s="291" t="s">
        <v>3</v>
      </c>
      <c r="B16" s="291"/>
      <c r="C16" s="291" t="s">
        <v>237</v>
      </c>
      <c r="D16" s="291" t="s">
        <v>238</v>
      </c>
      <c r="E16" s="291" t="s">
        <v>23</v>
      </c>
      <c r="F16" s="291" t="s">
        <v>239</v>
      </c>
      <c r="G16" s="349" t="s">
        <v>320</v>
      </c>
      <c r="H16" s="291" t="s">
        <v>318</v>
      </c>
      <c r="I16" s="291" t="s">
        <v>17</v>
      </c>
      <c r="J16" s="291" t="s">
        <v>315</v>
      </c>
      <c r="K16" s="348" t="s">
        <v>51</v>
      </c>
      <c r="M16" s="82"/>
      <c r="N16" s="82"/>
    </row>
    <row r="17" spans="1:14" ht="15.75" thickBot="1" x14ac:dyDescent="0.3">
      <c r="A17" s="145" t="s">
        <v>7</v>
      </c>
      <c r="B17" s="145" t="s">
        <v>17</v>
      </c>
      <c r="C17" s="145" t="s">
        <v>53</v>
      </c>
      <c r="D17" s="145" t="s">
        <v>240</v>
      </c>
      <c r="E17" s="145" t="s">
        <v>240</v>
      </c>
      <c r="F17" s="145" t="s">
        <v>241</v>
      </c>
      <c r="G17" s="350" t="s">
        <v>41</v>
      </c>
      <c r="H17" s="145" t="s">
        <v>41</v>
      </c>
      <c r="I17" s="145" t="s">
        <v>234</v>
      </c>
      <c r="J17" s="145" t="s">
        <v>316</v>
      </c>
      <c r="K17" s="351" t="s">
        <v>53</v>
      </c>
      <c r="M17" s="2"/>
      <c r="N17" s="2"/>
    </row>
    <row r="18" spans="1:14" x14ac:dyDescent="0.25">
      <c r="A18" s="93"/>
      <c r="B18" s="101"/>
      <c r="C18" s="101"/>
      <c r="D18" s="101"/>
      <c r="E18" s="101"/>
      <c r="F18" s="101"/>
      <c r="G18" s="352"/>
      <c r="H18" s="101"/>
      <c r="I18" s="101"/>
      <c r="J18" s="101"/>
      <c r="K18" s="353"/>
    </row>
    <row r="19" spans="1:14" x14ac:dyDescent="0.25">
      <c r="A19" s="163">
        <v>1</v>
      </c>
      <c r="B19" s="174">
        <f>'Actuarial balances'!B44</f>
        <v>3500000</v>
      </c>
      <c r="C19" s="174">
        <f>'Table7- 31UL Asset Rollforward'!G12</f>
        <v>56062.5</v>
      </c>
      <c r="D19" s="174">
        <f>-'Actuarial balances'!F15*1000</f>
        <v>-80000</v>
      </c>
      <c r="E19" s="174">
        <f>'Actuarial balances'!J44+'Actuarial balances'!O44</f>
        <v>-202186.74051910237</v>
      </c>
      <c r="F19" s="174">
        <f>'Actuarial balances'!K43-'Actuarial balances'!K44</f>
        <v>-2844364.8629415804</v>
      </c>
      <c r="G19" s="354">
        <f>-('Tables 26a,b-MasterInputs'!I31-'Tables 26a,b-MasterInputs'!J31)*'Actuarial balances'!D14+B19*('Tables 26a,b-MasterInputs'!H31-'Tables 26a,b-MasterInputs'!G31)</f>
        <v>-130000.00000000009</v>
      </c>
      <c r="H19" s="174">
        <f>-'Actuarial balances'!D14*'Tables 26a,b-MasterInputs'!C56</f>
        <v>-50000</v>
      </c>
      <c r="I19" s="174">
        <f>-B19*'Tables 26a,b-MasterInputs'!D56</f>
        <v>-78750</v>
      </c>
      <c r="J19" s="174">
        <f>'Actuarial balances'!C99</f>
        <v>-216340.43622625663</v>
      </c>
      <c r="K19" s="175">
        <f t="shared" ref="K19:K38" si="1">SUM(B19:J19)</f>
        <v>-45579.539686939301</v>
      </c>
      <c r="L19" s="345"/>
      <c r="M19" s="88"/>
      <c r="N19" s="86"/>
    </row>
    <row r="20" spans="1:14" x14ac:dyDescent="0.25">
      <c r="A20" s="163">
        <f t="shared" ref="A20:A38" si="2">A19+1</f>
        <v>2</v>
      </c>
      <c r="B20" s="174">
        <f>'Actuarial balances'!B45</f>
        <v>2972620</v>
      </c>
      <c r="C20" s="174">
        <f>'Table7- 31UL Asset Rollforward'!G13</f>
        <v>185739.83745839185</v>
      </c>
      <c r="D20" s="174">
        <f>-'Actuarial balances'!F16*1000</f>
        <v>-93425.2</v>
      </c>
      <c r="E20" s="174">
        <f>'Actuarial balances'!J45+'Actuarial balances'!O45</f>
        <v>-502882.873844199</v>
      </c>
      <c r="F20" s="174">
        <f>'Actuarial balances'!K44-'Actuarial balances'!K45</f>
        <v>-2187285.903414546</v>
      </c>
      <c r="G20" s="354">
        <f>-('Tables 26a,b-MasterInputs'!I32-'Tables 26a,b-MasterInputs'!J32)*'Actuarial balances'!D15+B20*('Tables 26a,b-MasterInputs'!H32-'Tables 26a,b-MasterInputs'!G32)</f>
        <v>-89178.599999999991</v>
      </c>
      <c r="H20" s="174">
        <f>-'Actuarial balances'!D15*'Tables 26a,b-MasterInputs'!C57</f>
        <v>-42466</v>
      </c>
      <c r="I20" s="174">
        <f>-B20*'Tables 26a,b-MasterInputs'!D57</f>
        <v>-66883.95</v>
      </c>
      <c r="J20" s="174">
        <f>'Actuarial balances'!C100</f>
        <v>-183742.25929568429</v>
      </c>
      <c r="K20" s="175">
        <f t="shared" si="1"/>
        <v>-7504.9490960377152</v>
      </c>
      <c r="L20" s="346"/>
      <c r="M20" s="88"/>
      <c r="N20" s="86"/>
    </row>
    <row r="21" spans="1:14" x14ac:dyDescent="0.25">
      <c r="A21" s="163">
        <f t="shared" si="2"/>
        <v>3</v>
      </c>
      <c r="B21" s="174">
        <f>'Actuarial balances'!B46</f>
        <v>2613028.10384</v>
      </c>
      <c r="C21" s="174">
        <f>'Table7- 31UL Asset Rollforward'!G14</f>
        <v>287512.43086772336</v>
      </c>
      <c r="D21" s="174">
        <f>-'Actuarial balances'!F17*1000</f>
        <v>-106760.86252832001</v>
      </c>
      <c r="E21" s="174">
        <f>'Actuarial balances'!J46+'Actuarial balances'!O46</f>
        <v>-639041.41634112771</v>
      </c>
      <c r="F21" s="174">
        <f>'Actuarial balances'!K45-'Actuarial balances'!K46</f>
        <v>-1793259.044159214</v>
      </c>
      <c r="G21" s="354">
        <f>-('Tables 26a,b-MasterInputs'!I33-'Tables 26a,b-MasterInputs'!J33)*'Actuarial balances'!D16+B21*('Tables 26a,b-MasterInputs'!H33-'Tables 26a,b-MasterInputs'!G33)</f>
        <v>-78390.843115199998</v>
      </c>
      <c r="H21" s="174">
        <f>-'Actuarial balances'!D16*'Tables 26a,b-MasterInputs'!C58</f>
        <v>-37328.972911999997</v>
      </c>
      <c r="I21" s="174">
        <f>-B21*'Tables 26a,b-MasterInputs'!D58</f>
        <v>-58793.132336399998</v>
      </c>
      <c r="J21" s="174">
        <f>'Actuarial balances'!C101</f>
        <v>-161515.32567320392</v>
      </c>
      <c r="K21" s="175">
        <f t="shared" si="1"/>
        <v>25450.937642257486</v>
      </c>
      <c r="L21" s="346"/>
      <c r="M21" s="88"/>
      <c r="N21" s="86"/>
    </row>
    <row r="22" spans="1:14" x14ac:dyDescent="0.25">
      <c r="A22" s="163">
        <f t="shared" si="2"/>
        <v>4</v>
      </c>
      <c r="B22" s="174">
        <f>'Actuarial balances'!B47</f>
        <v>2348362.3262863578</v>
      </c>
      <c r="C22" s="174">
        <f>'Table7- 31UL Asset Rollforward'!G15</f>
        <v>372901.65513170738</v>
      </c>
      <c r="D22" s="174">
        <f>-'Actuarial balances'!F18*1000</f>
        <v>-114734.27365570489</v>
      </c>
      <c r="E22" s="174">
        <f>'Actuarial balances'!J47+'Actuarial balances'!O47</f>
        <v>-739086.59811449819</v>
      </c>
      <c r="F22" s="174">
        <f>'Actuarial balances'!K46-'Actuarial balances'!K47</f>
        <v>-1501419.0758753354</v>
      </c>
      <c r="G22" s="354">
        <f>-('Tables 26a,b-MasterInputs'!I34-'Tables 26a,b-MasterInputs'!J34)*'Actuarial balances'!D17+B22*('Tables 26a,b-MasterInputs'!H34-'Tables 26a,b-MasterInputs'!G34)</f>
        <v>-70450.869788590731</v>
      </c>
      <c r="H22" s="174">
        <f>-'Actuarial balances'!D17*'Tables 26a,b-MasterInputs'!C59</f>
        <v>-33548.033232662252</v>
      </c>
      <c r="I22" s="174">
        <f>-B22*'Tables 26a,b-MasterInputs'!D59</f>
        <v>-52838.152341443048</v>
      </c>
      <c r="J22" s="174">
        <f>'Actuarial balances'!C102</f>
        <v>-145155.92288174212</v>
      </c>
      <c r="K22" s="175">
        <f t="shared" si="1"/>
        <v>64031.05552808888</v>
      </c>
      <c r="L22" s="346"/>
      <c r="M22" s="88"/>
      <c r="N22" s="86"/>
    </row>
    <row r="23" spans="1:14" x14ac:dyDescent="0.25">
      <c r="A23" s="163">
        <f t="shared" si="2"/>
        <v>5</v>
      </c>
      <c r="B23" s="174">
        <f>'Actuarial balances'!B48</f>
        <v>2133355.4303046511</v>
      </c>
      <c r="C23" s="174">
        <f>'Table7- 31UL Asset Rollforward'!G16</f>
        <v>445198.02972670051</v>
      </c>
      <c r="D23" s="174">
        <f>-'Actuarial balances'!F19*1000</f>
        <v>-118248.84385117212</v>
      </c>
      <c r="E23" s="174">
        <f>'Actuarial balances'!J48+'Actuarial balances'!O48</f>
        <v>-779599.00617797452</v>
      </c>
      <c r="F23" s="174">
        <f>'Actuarial balances'!K47-'Actuarial balances'!K48</f>
        <v>-1310675.4731502952</v>
      </c>
      <c r="G23" s="354">
        <f>-('Tables 26a,b-MasterInputs'!I35-'Tables 26a,b-MasterInputs'!J35)*'Actuarial balances'!D18+B23*('Tables 26a,b-MasterInputs'!H35-'Tables 26a,b-MasterInputs'!G35)</f>
        <v>-64000.66290913953</v>
      </c>
      <c r="H23" s="174">
        <f>-'Actuarial balances'!D18*'Tables 26a,b-MasterInputs'!C60</f>
        <v>-30476.506147209308</v>
      </c>
      <c r="I23" s="174">
        <f>-B23*'Tables 26a,b-MasterInputs'!D60</f>
        <v>-48000.497181854647</v>
      </c>
      <c r="J23" s="174">
        <f>'Actuarial balances'!C103</f>
        <v>-131866.01269078907</v>
      </c>
      <c r="K23" s="175">
        <f t="shared" si="1"/>
        <v>95686.457922917471</v>
      </c>
      <c r="L23" s="346"/>
      <c r="M23" s="88"/>
      <c r="N23" s="86"/>
    </row>
    <row r="24" spans="1:14" x14ac:dyDescent="0.25">
      <c r="A24" s="163">
        <f t="shared" si="2"/>
        <v>6</v>
      </c>
      <c r="B24" s="174">
        <f>'Actuarial balances'!B49</f>
        <v>1958879.3831082715</v>
      </c>
      <c r="C24" s="174">
        <f>'Table7- 31UL Asset Rollforward'!G17</f>
        <v>509183.92703082366</v>
      </c>
      <c r="D24" s="174">
        <f>-'Actuarial balances'!F20*1000</f>
        <v>-124248.92087143895</v>
      </c>
      <c r="E24" s="174">
        <f>'Actuarial balances'!J49+'Actuarial balances'!O49</f>
        <v>-777129.11242920009</v>
      </c>
      <c r="F24" s="174">
        <f>'Actuarial balances'!K48-'Actuarial balances'!K49</f>
        <v>-1207057.7124230657</v>
      </c>
      <c r="G24" s="354">
        <f>-('Tables 26a,b-MasterInputs'!I36-'Tables 26a,b-MasterInputs'!J36)*'Actuarial balances'!D19+B24*('Tables 26a,b-MasterInputs'!H36-'Tables 26a,b-MasterInputs'!G36)</f>
        <v>-58766.38149324814</v>
      </c>
      <c r="H24" s="174">
        <f>-'Actuarial balances'!D19*'Tables 26a,b-MasterInputs'!C61</f>
        <v>-27983.991187261025</v>
      </c>
      <c r="I24" s="174">
        <f>-B24*'Tables 26a,b-MasterInputs'!D61</f>
        <v>-44074.786119936107</v>
      </c>
      <c r="J24" s="174">
        <f>'Actuarial balances'!C104</f>
        <v>-121081.37721607542</v>
      </c>
      <c r="K24" s="175">
        <f t="shared" si="1"/>
        <v>107721.02839886992</v>
      </c>
      <c r="L24" s="346"/>
      <c r="M24" s="88"/>
      <c r="N24" s="86"/>
    </row>
    <row r="25" spans="1:14" x14ac:dyDescent="0.25">
      <c r="A25" s="163">
        <f t="shared" si="2"/>
        <v>7</v>
      </c>
      <c r="B25" s="174">
        <f>'Actuarial balances'!B50</f>
        <v>1817713.5239163272</v>
      </c>
      <c r="C25" s="174">
        <f>'Table7- 31UL Asset Rollforward'!G18</f>
        <v>569003.98169012798</v>
      </c>
      <c r="D25" s="174">
        <f>-'Actuarial balances'!F21*1000</f>
        <v>-131394.72044309453</v>
      </c>
      <c r="E25" s="174">
        <f>'Actuarial balances'!J50+'Actuarial balances'!O50</f>
        <v>-741411.23855534056</v>
      </c>
      <c r="F25" s="174">
        <f>'Actuarial balances'!K49-'Actuarial balances'!K50</f>
        <v>-1160941.3113866858</v>
      </c>
      <c r="G25" s="354">
        <f>-('Tables 26a,b-MasterInputs'!I37-'Tables 26a,b-MasterInputs'!J37)*'Actuarial balances'!D20+B25*('Tables 26a,b-MasterInputs'!H37-'Tables 26a,b-MasterInputs'!G37)</f>
        <v>-54531.405717489812</v>
      </c>
      <c r="H25" s="174">
        <f>-'Actuarial balances'!D20*'Tables 26a,b-MasterInputs'!C62</f>
        <v>-25967.336055947533</v>
      </c>
      <c r="I25" s="174">
        <f>-B25*'Tables 26a,b-MasterInputs'!D62</f>
        <v>-40898.554288117361</v>
      </c>
      <c r="J25" s="174">
        <f>'Actuarial balances'!C105</f>
        <v>-112355.69619954981</v>
      </c>
      <c r="K25" s="175">
        <f t="shared" si="1"/>
        <v>119217.24296022973</v>
      </c>
      <c r="L25" s="346"/>
      <c r="M25" s="88"/>
      <c r="N25" s="86"/>
    </row>
    <row r="26" spans="1:14" x14ac:dyDescent="0.25">
      <c r="A26" s="163">
        <f t="shared" si="2"/>
        <v>8</v>
      </c>
      <c r="B26" s="174">
        <f>'Actuarial balances'!B51</f>
        <v>1704327.8261787696</v>
      </c>
      <c r="C26" s="174">
        <f>'Table7- 31UL Asset Rollforward'!G19</f>
        <v>627378.17442322138</v>
      </c>
      <c r="D26" s="174">
        <f>-'Actuarial balances'!F22*1000</f>
        <v>-137807.07851674053</v>
      </c>
      <c r="E26" s="174">
        <f>'Actuarial balances'!J51+'Actuarial balances'!O51</f>
        <v>-678642.37872418517</v>
      </c>
      <c r="F26" s="174">
        <f>'Actuarial balances'!K50-'Actuarial balances'!K51</f>
        <v>-1165978.2723246478</v>
      </c>
      <c r="G26" s="354">
        <f>-('Tables 26a,b-MasterInputs'!I38-'Tables 26a,b-MasterInputs'!J38)*'Actuarial balances'!D21+B26*('Tables 26a,b-MasterInputs'!H38-'Tables 26a,b-MasterInputs'!G38)</f>
        <v>-51129.834785363084</v>
      </c>
      <c r="H26" s="174">
        <f>-'Actuarial balances'!D21*'Tables 26a,b-MasterInputs'!C63</f>
        <v>-24347.540373982425</v>
      </c>
      <c r="I26" s="174">
        <f>-B26*'Tables 26a,b-MasterInputs'!D63</f>
        <v>-38347.376089022313</v>
      </c>
      <c r="J26" s="174">
        <f>'Actuarial balances'!C106</f>
        <v>-105347.15011087505</v>
      </c>
      <c r="K26" s="175">
        <f t="shared" si="1"/>
        <v>130106.36967717487</v>
      </c>
      <c r="L26" s="346"/>
      <c r="M26" s="88"/>
      <c r="N26" s="86"/>
    </row>
    <row r="27" spans="1:14" x14ac:dyDescent="0.25">
      <c r="A27" s="163">
        <f t="shared" si="2"/>
        <v>9</v>
      </c>
      <c r="B27" s="174">
        <f>'Actuarial balances'!B52</f>
        <v>1614529.3495091493</v>
      </c>
      <c r="C27" s="174">
        <f>'Table7- 31UL Asset Rollforward'!G20</f>
        <v>686754.384481824</v>
      </c>
      <c r="D27" s="174">
        <f>-'Actuarial balances'!F23*1000</f>
        <v>-143462.46505638445</v>
      </c>
      <c r="E27" s="174">
        <f>'Actuarial balances'!J52+'Actuarial balances'!O52</f>
        <v>-592108.78334441048</v>
      </c>
      <c r="F27" s="174">
        <f>'Actuarial balances'!K51-'Actuarial balances'!K52</f>
        <v>-1216215.1830708124</v>
      </c>
      <c r="G27" s="354">
        <f>-('Tables 26a,b-MasterInputs'!I39-'Tables 26a,b-MasterInputs'!J39)*'Actuarial balances'!D22+B27*('Tables 26a,b-MasterInputs'!H39-'Tables 26a,b-MasterInputs'!G39)</f>
        <v>-48435.88048527448</v>
      </c>
      <c r="H27" s="174">
        <f>-'Actuarial balances'!D22*'Tables 26a,b-MasterInputs'!C64</f>
        <v>-23064.704992987852</v>
      </c>
      <c r="I27" s="174">
        <f>-B27*'Tables 26a,b-MasterInputs'!D64</f>
        <v>-36326.91036395586</v>
      </c>
      <c r="J27" s="174">
        <f>'Actuarial balances'!C107</f>
        <v>-99796.566792258207</v>
      </c>
      <c r="K27" s="175">
        <f t="shared" si="1"/>
        <v>141873.23988488974</v>
      </c>
      <c r="L27" s="346"/>
      <c r="M27" s="88"/>
      <c r="N27" s="86"/>
    </row>
    <row r="28" spans="1:14" x14ac:dyDescent="0.25">
      <c r="A28" s="163">
        <f t="shared" si="2"/>
        <v>10</v>
      </c>
      <c r="B28" s="174">
        <f>'Actuarial balances'!B53</f>
        <v>1545127.8367028888</v>
      </c>
      <c r="C28" s="174">
        <f>'Table7- 31UL Asset Rollforward'!G21</f>
        <v>749316.64781492809</v>
      </c>
      <c r="D28" s="174">
        <f>-'Actuarial balances'!F24*1000</f>
        <v>-152305.45818928478</v>
      </c>
      <c r="E28" s="174">
        <f>'Actuarial balances'!J53+'Actuarial balances'!O53</f>
        <v>-643572.24591632921</v>
      </c>
      <c r="F28" s="174">
        <f>'Actuarial balances'!K52-'Actuarial balances'!K53</f>
        <v>-1143005.9352365546</v>
      </c>
      <c r="G28" s="354">
        <f>-('Tables 26a,b-MasterInputs'!I40-'Tables 26a,b-MasterInputs'!J40)*'Actuarial balances'!D23+B28*('Tables 26a,b-MasterInputs'!H40-'Tables 26a,b-MasterInputs'!G40)</f>
        <v>-46353.835101086661</v>
      </c>
      <c r="H28" s="174">
        <f>-'Actuarial balances'!D23*'Tables 26a,b-MasterInputs'!C65</f>
        <v>-22073.254810041279</v>
      </c>
      <c r="I28" s="174">
        <f>-B28*'Tables 26a,b-MasterInputs'!D65</f>
        <v>-34765.376325814999</v>
      </c>
      <c r="J28" s="174">
        <f>'Actuarial balances'!C108</f>
        <v>-95506.751490752911</v>
      </c>
      <c r="K28" s="175">
        <f t="shared" si="1"/>
        <v>156861.62744795228</v>
      </c>
      <c r="L28" s="346"/>
      <c r="M28" s="88"/>
      <c r="N28" s="86"/>
    </row>
    <row r="29" spans="1:14" x14ac:dyDescent="0.25">
      <c r="A29" s="163">
        <f t="shared" si="2"/>
        <v>11</v>
      </c>
      <c r="B29" s="174">
        <f>'Actuarial balances'!B54</f>
        <v>1478205.259839613</v>
      </c>
      <c r="C29" s="174">
        <f>'Table7- 31UL Asset Rollforward'!G22</f>
        <v>808119.62691301247</v>
      </c>
      <c r="D29" s="174">
        <f>-'Actuarial balances'!F25*1000</f>
        <v>-165136.64474208257</v>
      </c>
      <c r="E29" s="174">
        <f>'Actuarial balances'!J54+'Actuarial balances'!O54</f>
        <v>-691264.88786456001</v>
      </c>
      <c r="F29" s="174">
        <f>'Actuarial balances'!K53-'Actuarial balances'!K54</f>
        <v>-1060154.5347667038</v>
      </c>
      <c r="G29" s="354">
        <f>-('Tables 26a,b-MasterInputs'!I41-'Tables 26a,b-MasterInputs'!J41)*'Actuarial balances'!D24+B29*('Tables 26a,b-MasterInputs'!H41-'Tables 26a,b-MasterInputs'!G41)</f>
        <v>-44346.157795188388</v>
      </c>
      <c r="H29" s="174">
        <f>-'Actuarial balances'!D24*'Tables 26a,b-MasterInputs'!C66</f>
        <v>-21117.217997708769</v>
      </c>
      <c r="I29" s="174">
        <f>-B29*'Tables 26a,b-MasterInputs'!D66</f>
        <v>-33259.618346391289</v>
      </c>
      <c r="J29" s="174">
        <f>'Actuarial balances'!C109</f>
        <v>-91370.163070185401</v>
      </c>
      <c r="K29" s="175">
        <f t="shared" si="1"/>
        <v>179675.66216980555</v>
      </c>
      <c r="L29" s="346"/>
      <c r="M29" s="88"/>
      <c r="N29" s="86"/>
    </row>
    <row r="30" spans="1:14" x14ac:dyDescent="0.25">
      <c r="A30" s="163">
        <f t="shared" si="2"/>
        <v>12</v>
      </c>
      <c r="B30" s="174">
        <f>'Actuarial balances'!B55</f>
        <v>1413528.4581826946</v>
      </c>
      <c r="C30" s="174">
        <f>'Table7- 31UL Asset Rollforward'!G23</f>
        <v>862677.9960418297</v>
      </c>
      <c r="D30" s="174">
        <f>-'Actuarial balances'!F26*1000</f>
        <v>-185374.16065881634</v>
      </c>
      <c r="E30" s="174">
        <f>'Actuarial balances'!J55+'Actuarial balances'!O55</f>
        <v>-731453.8087006635</v>
      </c>
      <c r="F30" s="174">
        <f>'Actuarial balances'!K54-'Actuarial balances'!K55</f>
        <v>-964534.10006648302</v>
      </c>
      <c r="G30" s="354">
        <f>-('Tables 26a,b-MasterInputs'!I42-'Tables 26a,b-MasterInputs'!J42)*'Actuarial balances'!D25+B30*('Tables 26a,b-MasterInputs'!H42-'Tables 26a,b-MasterInputs'!G42)</f>
        <v>-42405.853745480839</v>
      </c>
      <c r="H30" s="174">
        <f>-'Actuarial balances'!D25*'Tables 26a,b-MasterInputs'!C67</f>
        <v>-20193.263688324219</v>
      </c>
      <c r="I30" s="174">
        <f>-B30*'Tables 26a,b-MasterInputs'!D67</f>
        <v>-31804.390309110629</v>
      </c>
      <c r="J30" s="174">
        <f>'Actuarial balances'!C110</f>
        <v>-87372.389503277736</v>
      </c>
      <c r="K30" s="175">
        <f t="shared" si="1"/>
        <v>213068.48755236785</v>
      </c>
      <c r="L30" s="346"/>
      <c r="M30" s="88"/>
      <c r="N30" s="86"/>
    </row>
    <row r="31" spans="1:14" x14ac:dyDescent="0.25">
      <c r="A31" s="163">
        <f t="shared" si="2"/>
        <v>13</v>
      </c>
      <c r="B31" s="174">
        <f>'Actuarial balances'!B56</f>
        <v>1350758.7480572504</v>
      </c>
      <c r="C31" s="174">
        <f>'Table7- 31UL Asset Rollforward'!G24</f>
        <v>912344.44101035711</v>
      </c>
      <c r="D31" s="174">
        <f>-'Actuarial balances'!F27*1000</f>
        <v>-207630.91612994319</v>
      </c>
      <c r="E31" s="174">
        <f>'Actuarial balances'!J56+'Actuarial balances'!O56</f>
        <v>-767704.55632872146</v>
      </c>
      <c r="F31" s="174">
        <f>'Actuarial balances'!K55-'Actuarial balances'!K56</f>
        <v>-870017.94307339191</v>
      </c>
      <c r="G31" s="354">
        <f>-('Tables 26a,b-MasterInputs'!I43-'Tables 26a,b-MasterInputs'!J43)*'Actuarial balances'!D26+B31*('Tables 26a,b-MasterInputs'!H43-'Tables 26a,b-MasterInputs'!G43)</f>
        <v>-40522.76244171751</v>
      </c>
      <c r="H31" s="174">
        <f>-'Actuarial balances'!D26*'Tables 26a,b-MasterInputs'!C68</f>
        <v>-19296.553543675018</v>
      </c>
      <c r="I31" s="174">
        <f>-B31*'Tables 26a,b-MasterInputs'!D68</f>
        <v>-30392.071831288133</v>
      </c>
      <c r="J31" s="174">
        <f>'Actuarial balances'!C111</f>
        <v>-83492.496226039395</v>
      </c>
      <c r="K31" s="175">
        <f t="shared" si="1"/>
        <v>244045.88949283105</v>
      </c>
      <c r="L31" s="346"/>
      <c r="M31" s="88"/>
      <c r="N31" s="86"/>
    </row>
    <row r="32" spans="1:14" x14ac:dyDescent="0.25">
      <c r="A32" s="163">
        <f t="shared" si="2"/>
        <v>14</v>
      </c>
      <c r="B32" s="174">
        <f>'Actuarial balances'!B57</f>
        <v>1289751.9993529944</v>
      </c>
      <c r="C32" s="174">
        <f>'Table7- 31UL Asset Rollforward'!G25</f>
        <v>957173.34450453916</v>
      </c>
      <c r="D32" s="174">
        <f>-'Actuarial balances'!F28*1000</f>
        <v>-226996.35188612714</v>
      </c>
      <c r="E32" s="174">
        <f>'Actuarial balances'!J57+'Actuarial balances'!O57</f>
        <v>-800242.2460051307</v>
      </c>
      <c r="F32" s="174">
        <f>'Actuarial balances'!K56-'Actuarial balances'!K57</f>
        <v>-780904.55223382264</v>
      </c>
      <c r="G32" s="354">
        <f>-('Tables 26a,b-MasterInputs'!I44-'Tables 26a,b-MasterInputs'!J44)*'Actuarial balances'!D27+B32*('Tables 26a,b-MasterInputs'!H44-'Tables 26a,b-MasterInputs'!G44)</f>
        <v>-38692.559980589831</v>
      </c>
      <c r="H32" s="174">
        <f>-'Actuarial balances'!D27*'Tables 26a,b-MasterInputs'!C69</f>
        <v>-18425.028562185646</v>
      </c>
      <c r="I32" s="174">
        <f>-B32*'Tables 26a,b-MasterInputs'!D69</f>
        <v>-29019.419985442371</v>
      </c>
      <c r="J32" s="174">
        <f>'Actuarial balances'!C112</f>
        <v>-79721.574332489574</v>
      </c>
      <c r="K32" s="175">
        <f t="shared" si="1"/>
        <v>272923.61087174539</v>
      </c>
      <c r="L32" s="346"/>
      <c r="M32" s="88"/>
      <c r="N32" s="86"/>
    </row>
    <row r="33" spans="1:14" x14ac:dyDescent="0.25">
      <c r="A33" s="163">
        <f t="shared" si="2"/>
        <v>15</v>
      </c>
      <c r="B33" s="174">
        <f>'Actuarial balances'!B58</f>
        <v>1230534.8419555007</v>
      </c>
      <c r="C33" s="174">
        <f>'Table7- 31UL Asset Rollforward'!G26</f>
        <v>997441.53597071825</v>
      </c>
      <c r="D33" s="174">
        <f>-'Actuarial balances'!F29*1000</f>
        <v>-243645.89870718931</v>
      </c>
      <c r="E33" s="174">
        <f>'Actuarial balances'!J58+'Actuarial balances'!O58</f>
        <v>-829284.30058123043</v>
      </c>
      <c r="F33" s="174">
        <f>'Actuarial balances'!K57-'Actuarial balances'!K58</f>
        <v>-697009.30982638896</v>
      </c>
      <c r="G33" s="354">
        <f>-('Tables 26a,b-MasterInputs'!I45-'Tables 26a,b-MasterInputs'!J45)*'Actuarial balances'!D28+B33*('Tables 26a,b-MasterInputs'!H45-'Tables 26a,b-MasterInputs'!G45)</f>
        <v>-36916.045258665021</v>
      </c>
      <c r="H33" s="174">
        <f>-'Actuarial balances'!D28*'Tables 26a,b-MasterInputs'!C70</f>
        <v>-17579.069170792878</v>
      </c>
      <c r="I33" s="174">
        <f>-B33*'Tables 26a,b-MasterInputs'!D70</f>
        <v>-27687.033943998762</v>
      </c>
      <c r="J33" s="174">
        <f>'Actuarial balances'!C113</f>
        <v>-76061.269857217369</v>
      </c>
      <c r="K33" s="175">
        <f t="shared" si="1"/>
        <v>299793.45058073592</v>
      </c>
      <c r="L33" s="346"/>
      <c r="M33" s="88"/>
      <c r="N33" s="86"/>
    </row>
    <row r="34" spans="1:14" x14ac:dyDescent="0.25">
      <c r="A34" s="163">
        <f t="shared" si="2"/>
        <v>16</v>
      </c>
      <c r="B34" s="174">
        <f>'Actuarial balances'!B59</f>
        <v>1173126.9460807191</v>
      </c>
      <c r="C34" s="174">
        <f>'Table7- 31UL Asset Rollforward'!G27</f>
        <v>1033416.3715277412</v>
      </c>
      <c r="D34" s="174">
        <f>-'Actuarial balances'!F30*1000</f>
        <v>-260434.18202991984</v>
      </c>
      <c r="E34" s="174">
        <f>'Actuarial balances'!J59+'Actuarial balances'!O59</f>
        <v>-854937.16226001189</v>
      </c>
      <c r="F34" s="174">
        <f>'Actuarial balances'!K58-'Actuarial balances'!K59</f>
        <v>-615668.68029075861</v>
      </c>
      <c r="G34" s="354">
        <f>-('Tables 26a,b-MasterInputs'!I46-'Tables 26a,b-MasterInputs'!J46)*'Actuarial balances'!D29+B34*('Tables 26a,b-MasterInputs'!H46-'Tables 26a,b-MasterInputs'!G46)</f>
        <v>-35193.808382421572</v>
      </c>
      <c r="H34" s="174">
        <f>-'Actuarial balances'!D29*'Tables 26a,b-MasterInputs'!C71</f>
        <v>-16758.956372581713</v>
      </c>
      <c r="I34" s="174">
        <f>-B34*'Tables 26a,b-MasterInputs'!D71</f>
        <v>-26395.356286816179</v>
      </c>
      <c r="J34" s="174">
        <f>'Actuarial balances'!C114</f>
        <v>-72512.798646822586</v>
      </c>
      <c r="K34" s="175">
        <f t="shared" si="1"/>
        <v>324642.37333912775</v>
      </c>
      <c r="L34" s="346"/>
      <c r="M34" s="88"/>
      <c r="N34" s="86"/>
    </row>
    <row r="35" spans="1:14" x14ac:dyDescent="0.25">
      <c r="A35" s="163">
        <f t="shared" si="2"/>
        <v>17</v>
      </c>
      <c r="B35" s="174">
        <f>'Actuarial balances'!B60</f>
        <v>1117451.279721285</v>
      </c>
      <c r="C35" s="174">
        <f>'Table7- 31UL Asset Rollforward'!G28</f>
        <v>1065227.5791139561</v>
      </c>
      <c r="D35" s="174">
        <f>-'Actuarial balances'!F31*1000</f>
        <v>-270742.48148675723</v>
      </c>
      <c r="E35" s="174">
        <f>'Actuarial balances'!J60+'Actuarial balances'!O60</f>
        <v>-877558.08393682144</v>
      </c>
      <c r="F35" s="174">
        <f>'Actuarial balances'!K59-'Actuarial balances'!K60</f>
        <v>-542902.12024342641</v>
      </c>
      <c r="G35" s="354">
        <f>-('Tables 26a,b-MasterInputs'!I47-'Tables 26a,b-MasterInputs'!J47)*'Actuarial balances'!D30+B35*('Tables 26a,b-MasterInputs'!H47-'Tables 26a,b-MasterInputs'!G47)</f>
        <v>-33523.538391638547</v>
      </c>
      <c r="H35" s="174">
        <f>-'Actuarial balances'!D30*'Tables 26a,b-MasterInputs'!C72</f>
        <v>-15963.589710304081</v>
      </c>
      <c r="I35" s="174">
        <f>-B35*'Tables 26a,b-MasterInputs'!D72</f>
        <v>-25142.65379372891</v>
      </c>
      <c r="J35" s="174">
        <f>'Actuarial balances'!C115</f>
        <v>-69071.3992332833</v>
      </c>
      <c r="K35" s="175">
        <f t="shared" si="1"/>
        <v>347774.99203928083</v>
      </c>
      <c r="L35" s="346"/>
      <c r="M35" s="88"/>
      <c r="N35" s="86"/>
    </row>
    <row r="36" spans="1:14" x14ac:dyDescent="0.25">
      <c r="A36" s="163">
        <f t="shared" si="2"/>
        <v>18</v>
      </c>
      <c r="B36" s="174">
        <f>'Actuarial balances'!B61</f>
        <v>1063656.2811544784</v>
      </c>
      <c r="C36" s="174">
        <f>'Table7- 31UL Asset Rollforward'!G29</f>
        <v>1093316.1420296654</v>
      </c>
      <c r="D36" s="174">
        <f>-'Actuarial balances'!F32*1000</f>
        <v>-282628.66899247578</v>
      </c>
      <c r="E36" s="174">
        <f>'Actuarial balances'!J61+'Actuarial balances'!O61</f>
        <v>-897195.50427008362</v>
      </c>
      <c r="F36" s="174">
        <f>'Actuarial balances'!K60-'Actuarial balances'!K61</f>
        <v>-471298.08799829334</v>
      </c>
      <c r="G36" s="354">
        <f>-('Tables 26a,b-MasterInputs'!I48-'Tables 26a,b-MasterInputs'!J48)*'Actuarial balances'!D31+B36*('Tables 26a,b-MasterInputs'!H48-'Tables 26a,b-MasterInputs'!G48)</f>
        <v>-31909.68843463435</v>
      </c>
      <c r="H36" s="174">
        <f>-'Actuarial balances'!D31*'Tables 26a,b-MasterInputs'!C73</f>
        <v>-15195.089730778272</v>
      </c>
      <c r="I36" s="174">
        <f>-B36*'Tables 26a,b-MasterInputs'!D73</f>
        <v>-23932.266325975765</v>
      </c>
      <c r="J36" s="174">
        <f>'Actuarial balances'!C116</f>
        <v>-65746.246817073639</v>
      </c>
      <c r="K36" s="175">
        <f t="shared" si="1"/>
        <v>369066.87061482901</v>
      </c>
      <c r="L36" s="346"/>
      <c r="M36" s="88"/>
      <c r="N36" s="86"/>
    </row>
    <row r="37" spans="1:14" x14ac:dyDescent="0.25">
      <c r="A37" s="163">
        <f t="shared" si="2"/>
        <v>19</v>
      </c>
      <c r="B37" s="174">
        <f>'Actuarial balances'!B62</f>
        <v>1011613.7066301522</v>
      </c>
      <c r="C37" s="174">
        <f>'Table7- 31UL Asset Rollforward'!G30</f>
        <v>1117740.0150698612</v>
      </c>
      <c r="D37" s="174">
        <f>-'Actuarial balances'!F33*1000</f>
        <v>-295391.20233600459</v>
      </c>
      <c r="E37" s="174">
        <f>'Actuarial balances'!J62+'Actuarial balances'!O62</f>
        <v>-913917.89956986438</v>
      </c>
      <c r="F37" s="174">
        <f>'Actuarial balances'!K61-'Actuarial balances'!K62</f>
        <v>-401337.48719473928</v>
      </c>
      <c r="G37" s="354">
        <f>-('Tables 26a,b-MasterInputs'!I49-'Tables 26a,b-MasterInputs'!J49)*'Actuarial balances'!D32+B37*('Tables 26a,b-MasterInputs'!H49-'Tables 26a,b-MasterInputs'!G49)</f>
        <v>-30348.411198904563</v>
      </c>
      <c r="H37" s="174">
        <f>-'Actuarial balances'!D32*'Tables 26a,b-MasterInputs'!C74</f>
        <v>-14451.624380430752</v>
      </c>
      <c r="I37" s="174">
        <f>-B37*'Tables 26a,b-MasterInputs'!D74</f>
        <v>-22761.308399178422</v>
      </c>
      <c r="J37" s="174">
        <f>'Actuarial balances'!C117</f>
        <v>-62529.414452807861</v>
      </c>
      <c r="K37" s="175">
        <f t="shared" si="1"/>
        <v>388616.37416808389</v>
      </c>
      <c r="L37" s="346"/>
      <c r="M37" s="88"/>
      <c r="N37" s="86"/>
    </row>
    <row r="38" spans="1:14" ht="15.75" thickBot="1" x14ac:dyDescent="0.3">
      <c r="A38" s="95">
        <f t="shared" si="2"/>
        <v>20</v>
      </c>
      <c r="B38" s="176">
        <f>'Actuarial balances'!B63</f>
        <v>961224.01396645629</v>
      </c>
      <c r="C38" s="176">
        <f>'Table7- 31UL Asset Rollforward'!G31</f>
        <v>1138582.1410999128</v>
      </c>
      <c r="D38" s="176">
        <f>-'Actuarial balances'!F34*1000</f>
        <v>-308964.86163207539</v>
      </c>
      <c r="E38" s="176">
        <f>'Actuarial balances'!J63+'Actuarial balances'!O63</f>
        <v>-23194751.826353475</v>
      </c>
      <c r="F38" s="176">
        <f>'Actuarial balances'!K62-'Actuarial balances'!K63</f>
        <v>21934029.589676745</v>
      </c>
      <c r="G38" s="176">
        <f>-('Tables 26a,b-MasterInputs'!I50-'Tables 26a,b-MasterInputs'!J50)*'Actuarial balances'!D33+B38*('Tables 26a,b-MasterInputs'!H50-'Tables 26a,b-MasterInputs'!G50)</f>
        <v>-28836.720418993689</v>
      </c>
      <c r="H38" s="176">
        <f>-'Actuarial balances'!D33*'Tables 26a,b-MasterInputs'!C75</f>
        <v>-13731.771628092241</v>
      </c>
      <c r="I38" s="176">
        <f>-B38*'Tables 26a,b-MasterInputs'!D75</f>
        <v>-21627.540314245267</v>
      </c>
      <c r="J38" s="176">
        <f>'Actuarial balances'!C118</f>
        <v>-59414.749283616155</v>
      </c>
      <c r="K38" s="177">
        <f t="shared" si="1"/>
        <v>406508.27511261456</v>
      </c>
      <c r="L38" s="346"/>
      <c r="M38" s="88"/>
      <c r="N38" s="86"/>
    </row>
    <row r="39" spans="1:14" x14ac:dyDescent="0.25">
      <c r="N39" s="86"/>
    </row>
    <row r="40" spans="1:14" x14ac:dyDescent="0.25">
      <c r="A40" s="39"/>
    </row>
    <row r="70" spans="14:14" x14ac:dyDescent="0.25">
      <c r="N70" s="88"/>
    </row>
  </sheetData>
  <mergeCells count="2">
    <mergeCell ref="A12:K12"/>
    <mergeCell ref="A13:K13"/>
  </mergeCells>
  <pageMargins left="0.7" right="0.7" top="0.75" bottom="0.75" header="0.3" footer="0.3"/>
  <pageSetup orientation="portrait" r:id="rId1"/>
  <customProperties>
    <customPr name="EpmWorksheetKeyString_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38ECD-960B-4BC3-95A3-3B43E89F308E}">
  <sheetPr codeName="Sheet18"/>
  <dimension ref="A1:Q24"/>
  <sheetViews>
    <sheetView showGridLines="0" workbookViewId="0">
      <selection activeCell="T21" sqref="T21"/>
    </sheetView>
  </sheetViews>
  <sheetFormatPr defaultColWidth="8.5703125" defaultRowHeight="15" x14ac:dyDescent="0.25"/>
  <cols>
    <col min="1" max="1" width="6.140625" style="6" customWidth="1"/>
    <col min="2" max="3" width="10" style="6" bestFit="1" customWidth="1"/>
    <col min="4" max="4" width="6.5703125" style="6" bestFit="1" customWidth="1"/>
    <col min="5" max="6" width="9.140625" style="6" bestFit="1" customWidth="1"/>
    <col min="7" max="7" width="10.5703125" style="6" bestFit="1" customWidth="1"/>
    <col min="8" max="8" width="9.140625" style="6" bestFit="1" customWidth="1"/>
    <col min="9" max="10" width="8.140625" style="6" bestFit="1" customWidth="1"/>
    <col min="11" max="11" width="12.5703125" style="6" customWidth="1"/>
    <col min="12" max="12" width="9.5703125" style="6" bestFit="1" customWidth="1"/>
    <col min="13" max="13" width="11.42578125" style="6" bestFit="1" customWidth="1"/>
    <col min="14" max="14" width="8.7109375" style="6" bestFit="1" customWidth="1"/>
    <col min="15" max="15" width="11" style="6" customWidth="1"/>
    <col min="16" max="16" width="11.42578125" style="6" bestFit="1" customWidth="1"/>
    <col min="17" max="17" width="11" style="6" bestFit="1" customWidth="1"/>
    <col min="18" max="16384" width="8.5703125" style="6"/>
  </cols>
  <sheetData>
    <row r="1" spans="1:16" x14ac:dyDescent="0.25">
      <c r="A1" s="76" t="s">
        <v>368</v>
      </c>
    </row>
    <row r="2" spans="1:16" x14ac:dyDescent="0.25">
      <c r="A2" s="45" t="s">
        <v>369</v>
      </c>
    </row>
    <row r="3" spans="1:16" x14ac:dyDescent="0.25">
      <c r="A3" s="78" t="s">
        <v>370</v>
      </c>
    </row>
    <row r="4" spans="1:16" x14ac:dyDescent="0.25">
      <c r="A4" s="79" t="s">
        <v>379</v>
      </c>
    </row>
    <row r="6" spans="1:16" s="75" customFormat="1" x14ac:dyDescent="0.25">
      <c r="A6" s="1" t="s">
        <v>322</v>
      </c>
    </row>
    <row r="7" spans="1:16" s="75" customFormat="1" x14ac:dyDescent="0.25">
      <c r="A7" s="1" t="s">
        <v>132</v>
      </c>
    </row>
    <row r="8" spans="1:16" s="75" customFormat="1" x14ac:dyDescent="0.25">
      <c r="A8" s="1" t="s">
        <v>235</v>
      </c>
    </row>
    <row r="9" spans="1:16" s="75" customFormat="1" x14ac:dyDescent="0.25"/>
    <row r="10" spans="1:16" x14ac:dyDescent="0.25">
      <c r="A10" s="7" t="s">
        <v>242</v>
      </c>
    </row>
    <row r="11" spans="1:16" ht="15.75" thickBot="1" x14ac:dyDescent="0.3">
      <c r="A11" s="7"/>
    </row>
    <row r="12" spans="1:16" x14ac:dyDescent="0.25">
      <c r="A12" s="466" t="s">
        <v>322</v>
      </c>
      <c r="B12" s="467"/>
      <c r="C12" s="467"/>
      <c r="D12" s="467"/>
      <c r="E12" s="467"/>
      <c r="F12" s="467"/>
      <c r="G12" s="467"/>
      <c r="H12" s="467"/>
      <c r="I12" s="467"/>
      <c r="J12" s="467"/>
      <c r="K12" s="467"/>
      <c r="L12" s="467"/>
      <c r="M12" s="467"/>
      <c r="N12" s="468"/>
    </row>
    <row r="13" spans="1:16" ht="15.75" thickBot="1" x14ac:dyDescent="0.3">
      <c r="A13" s="462" t="s">
        <v>321</v>
      </c>
      <c r="B13" s="463"/>
      <c r="C13" s="463"/>
      <c r="D13" s="463"/>
      <c r="E13" s="463"/>
      <c r="F13" s="463"/>
      <c r="G13" s="463"/>
      <c r="H13" s="463"/>
      <c r="I13" s="463"/>
      <c r="J13" s="463"/>
      <c r="K13" s="464"/>
      <c r="L13" s="463"/>
      <c r="M13" s="463"/>
      <c r="N13" s="465"/>
    </row>
    <row r="14" spans="1:16" x14ac:dyDescent="0.25">
      <c r="A14" s="72"/>
      <c r="B14" s="355">
        <f>A14-1</f>
        <v>-1</v>
      </c>
      <c r="C14" s="355">
        <f t="shared" ref="C14:M14" si="0">B14-1</f>
        <v>-2</v>
      </c>
      <c r="D14" s="355">
        <f t="shared" si="0"/>
        <v>-3</v>
      </c>
      <c r="E14" s="355">
        <f t="shared" si="0"/>
        <v>-4</v>
      </c>
      <c r="F14" s="355">
        <f t="shared" si="0"/>
        <v>-5</v>
      </c>
      <c r="G14" s="355">
        <f t="shared" si="0"/>
        <v>-6</v>
      </c>
      <c r="H14" s="355">
        <f t="shared" si="0"/>
        <v>-7</v>
      </c>
      <c r="I14" s="355">
        <f t="shared" si="0"/>
        <v>-8</v>
      </c>
      <c r="J14" s="356">
        <f t="shared" si="0"/>
        <v>-9</v>
      </c>
      <c r="K14" s="355">
        <f t="shared" si="0"/>
        <v>-10</v>
      </c>
      <c r="L14" s="357">
        <f t="shared" si="0"/>
        <v>-11</v>
      </c>
      <c r="M14" s="355">
        <f t="shared" si="0"/>
        <v>-12</v>
      </c>
      <c r="N14" s="355">
        <f>M14-1</f>
        <v>-13</v>
      </c>
    </row>
    <row r="15" spans="1:16" x14ac:dyDescent="0.25">
      <c r="A15" s="358"/>
      <c r="B15" s="359"/>
      <c r="C15" s="359" t="s">
        <v>243</v>
      </c>
      <c r="D15" s="359"/>
      <c r="E15" s="359"/>
      <c r="F15" s="359"/>
      <c r="G15" s="359"/>
      <c r="H15" s="359" t="s">
        <v>319</v>
      </c>
      <c r="I15" s="359" t="s">
        <v>317</v>
      </c>
      <c r="J15" s="360"/>
      <c r="K15" s="359" t="s">
        <v>33</v>
      </c>
      <c r="L15" s="358" t="s">
        <v>244</v>
      </c>
      <c r="M15" s="359"/>
      <c r="N15" s="359" t="s">
        <v>245</v>
      </c>
      <c r="P15" s="8"/>
    </row>
    <row r="16" spans="1:16" x14ac:dyDescent="0.25">
      <c r="A16" s="358" t="s">
        <v>3</v>
      </c>
      <c r="B16" s="359"/>
      <c r="C16" s="359" t="s">
        <v>237</v>
      </c>
      <c r="D16" s="359" t="s">
        <v>246</v>
      </c>
      <c r="E16" s="359" t="s">
        <v>238</v>
      </c>
      <c r="F16" s="359" t="s">
        <v>23</v>
      </c>
      <c r="G16" s="359" t="s">
        <v>247</v>
      </c>
      <c r="H16" s="359" t="s">
        <v>323</v>
      </c>
      <c r="I16" s="359" t="s">
        <v>318</v>
      </c>
      <c r="J16" s="360" t="s">
        <v>17</v>
      </c>
      <c r="K16" s="359" t="s">
        <v>315</v>
      </c>
      <c r="L16" s="358" t="s">
        <v>51</v>
      </c>
      <c r="M16" s="359" t="s">
        <v>239</v>
      </c>
      <c r="N16" s="359" t="s">
        <v>248</v>
      </c>
      <c r="P16" s="8"/>
    </row>
    <row r="17" spans="1:17" ht="15.75" thickBot="1" x14ac:dyDescent="0.3">
      <c r="A17" s="74" t="s">
        <v>7</v>
      </c>
      <c r="B17" s="361" t="s">
        <v>17</v>
      </c>
      <c r="C17" s="361" t="s">
        <v>53</v>
      </c>
      <c r="D17" s="361" t="s">
        <v>249</v>
      </c>
      <c r="E17" s="361" t="s">
        <v>240</v>
      </c>
      <c r="F17" s="361" t="s">
        <v>240</v>
      </c>
      <c r="G17" s="361" t="s">
        <v>250</v>
      </c>
      <c r="H17" s="361" t="s">
        <v>41</v>
      </c>
      <c r="I17" s="361" t="s">
        <v>41</v>
      </c>
      <c r="J17" s="73" t="s">
        <v>234</v>
      </c>
      <c r="K17" s="361" t="s">
        <v>316</v>
      </c>
      <c r="L17" s="74" t="s">
        <v>53</v>
      </c>
      <c r="M17" s="361" t="s">
        <v>241</v>
      </c>
      <c r="N17" s="361" t="s">
        <v>53</v>
      </c>
      <c r="P17" s="9"/>
    </row>
    <row r="18" spans="1:17" x14ac:dyDescent="0.25">
      <c r="A18" s="71"/>
      <c r="B18" s="362"/>
      <c r="C18" s="362"/>
      <c r="D18" s="362"/>
      <c r="E18" s="362"/>
      <c r="F18" s="362"/>
      <c r="G18" s="362"/>
      <c r="H18" s="362"/>
      <c r="I18" s="362"/>
      <c r="J18" s="362"/>
      <c r="L18" s="362"/>
      <c r="M18" s="362"/>
      <c r="N18" s="363"/>
      <c r="P18" s="10"/>
    </row>
    <row r="19" spans="1:17" x14ac:dyDescent="0.25">
      <c r="A19" s="360">
        <v>1</v>
      </c>
      <c r="B19" s="364">
        <f>'Tables7-13-23 - IULHostVEDCalcs'!BP18</f>
        <v>3500000</v>
      </c>
      <c r="C19" s="365">
        <f>'Table7-30 - IULGAAPFormatIncome'!B19</f>
        <v>51997.576803343385</v>
      </c>
      <c r="D19" s="365">
        <f>'Table7-30 - IULGAAPFormatIncome'!C19</f>
        <v>4064.9231966566149</v>
      </c>
      <c r="E19" s="364">
        <f>-'Table 12-IUL Census'!E12*1000</f>
        <v>-80000</v>
      </c>
      <c r="F19" s="364">
        <f>'Tables7-13-23 - IULHostVEDCalcs'!BX49+'Tables7-13-23 - IULHostVEDCalcs'!CC49</f>
        <v>-202186.62052713893</v>
      </c>
      <c r="G19" s="364">
        <f>-('Table 7-24-IULHostVEDRecap'!E11-'Table 7-24-IULHostVEDRecap'!E10)</f>
        <v>-2844364.1829871209</v>
      </c>
      <c r="H19" s="365">
        <f>'Table7-30 - IULGAAPFormatIncome'!M19</f>
        <v>-130000.00000000009</v>
      </c>
      <c r="I19" s="365">
        <f>'Table7-30 - IULGAAPFormatIncome'!J19</f>
        <v>-50000</v>
      </c>
      <c r="J19" s="365">
        <f>'Table7-30 - IULGAAPFormatIncome'!K19</f>
        <v>-78750</v>
      </c>
      <c r="K19" s="365">
        <f>'Table7-30 - IULGAAPFormatIncome'!N19</f>
        <v>-216340.43622625663</v>
      </c>
      <c r="L19" s="364">
        <f>SUM(B19:K19)</f>
        <v>-45578.739740516612</v>
      </c>
      <c r="M19" s="364">
        <f>-'Table 7-24-IULHostVEDRecap'!D11+'Table 7-24-IULHostVEDRecap'!D10</f>
        <v>-2844798.1476607108</v>
      </c>
      <c r="N19" s="366">
        <f>L19-G19+M19</f>
        <v>-46012.70441410644</v>
      </c>
      <c r="O19" s="11"/>
      <c r="P19" s="10"/>
      <c r="Q19" s="10"/>
    </row>
    <row r="20" spans="1:17" x14ac:dyDescent="0.25">
      <c r="A20" s="360">
        <f>A19+1</f>
        <v>2</v>
      </c>
      <c r="B20" s="364">
        <f>'Tables7-13-23 - IULHostVEDCalcs'!BP19</f>
        <v>2972620</v>
      </c>
      <c r="C20" s="365">
        <f>'Table7-30 - IULGAAPFormatIncome'!B20</f>
        <v>178796.58504391889</v>
      </c>
      <c r="D20" s="365">
        <f>'Table7-30 - IULGAAPFormatIncome'!C20</f>
        <v>6943.21841675001</v>
      </c>
      <c r="E20" s="364">
        <f>-'Table 12-IUL Census'!E13*1000</f>
        <v>-93425.2</v>
      </c>
      <c r="F20" s="364">
        <f>'Tables7-13-23 - IULHostVEDCalcs'!BX50+'Tables7-13-23 - IULHostVEDCalcs'!CC50</f>
        <v>-502882.6258912551</v>
      </c>
      <c r="G20" s="364">
        <f>-('Table 7-24-IULHostVEDRecap'!E12-'Table 7-24-IULHostVEDRecap'!E11)</f>
        <v>-2187284.7650474161</v>
      </c>
      <c r="H20" s="365">
        <f>'Table7-30 - IULGAAPFormatIncome'!M20</f>
        <v>-89178.599999999991</v>
      </c>
      <c r="I20" s="365">
        <f>'Table7-30 - IULGAAPFormatIncome'!J20</f>
        <v>-42466</v>
      </c>
      <c r="J20" s="365">
        <f>'Table7-30 - IULGAAPFormatIncome'!K20</f>
        <v>-66883.95</v>
      </c>
      <c r="K20" s="365">
        <f>'Table7-30 - IULGAAPFormatIncome'!N20</f>
        <v>-183742.25929568429</v>
      </c>
      <c r="L20" s="364">
        <f>SUM(B20:K20)</f>
        <v>-7503.5967736869934</v>
      </c>
      <c r="M20" s="364">
        <f>-'Table 7-24-IULHostVEDRecap'!D12+'Table 7-24-IULHostVEDRecap'!D11</f>
        <v>-2165257.0552341919</v>
      </c>
      <c r="N20" s="366">
        <f>L20-G20+M20</f>
        <v>14524.113039537333</v>
      </c>
      <c r="O20" s="11"/>
      <c r="P20" s="10"/>
    </row>
    <row r="21" spans="1:17" ht="15.75" thickBot="1" x14ac:dyDescent="0.3">
      <c r="A21" s="73">
        <f>A20+1</f>
        <v>3</v>
      </c>
      <c r="B21" s="367">
        <f>'Tables7-13-23 - IULHostVEDCalcs'!BP20</f>
        <v>2613028.10384</v>
      </c>
      <c r="C21" s="368">
        <f>'Table7-30 - IULGAAPFormatIncome'!B21</f>
        <v>278306.9373801162</v>
      </c>
      <c r="D21" s="368">
        <f>'Table7-30 - IULGAAPFormatIncome'!C21</f>
        <v>9205.4025715276475</v>
      </c>
      <c r="E21" s="367">
        <f>-'Table 12-IUL Census'!E14*1000</f>
        <v>-106760.86252832001</v>
      </c>
      <c r="F21" s="367">
        <f>'Tables7-13-23 - IULHostVEDCalcs'!BX51+'Tables7-13-23 - IULHostVEDCalcs'!CC51</f>
        <v>-639041.04796262516</v>
      </c>
      <c r="G21" s="367">
        <f>-('Table 7-24-IULHostVEDRecap'!E13-'Table 7-24-IULHostVEDRecap'!E12)</f>
        <v>-1793257.5470742807</v>
      </c>
      <c r="H21" s="368">
        <f>'Table7-30 - IULGAAPFormatIncome'!M21</f>
        <v>-78390.843115199998</v>
      </c>
      <c r="I21" s="368">
        <f>'Table7-30 - IULGAAPFormatIncome'!J21</f>
        <v>-37328.972911999997</v>
      </c>
      <c r="J21" s="368">
        <f>'Table7-30 - IULGAAPFormatIncome'!K21</f>
        <v>-58793.132336399998</v>
      </c>
      <c r="K21" s="368">
        <f>'Table7-30 - IULGAAPFormatIncome'!N21</f>
        <v>-161515.32567320392</v>
      </c>
      <c r="L21" s="367">
        <f>SUM(B21:K21)</f>
        <v>25452.712189614598</v>
      </c>
      <c r="M21" s="367">
        <f>-'Table 7-24-IULHostVEDRecap'!D13+'Table 7-24-IULHostVEDRecap'!D12</f>
        <v>-1769435.5658740662</v>
      </c>
      <c r="N21" s="369">
        <f>L21-G21+M21</f>
        <v>49274.693389829015</v>
      </c>
      <c r="O21" s="11"/>
      <c r="P21" s="10"/>
    </row>
    <row r="22" spans="1:17" x14ac:dyDescent="0.25">
      <c r="A22" s="75"/>
      <c r="B22" s="75"/>
      <c r="C22" s="75"/>
      <c r="D22" s="75"/>
      <c r="E22" s="75"/>
      <c r="F22" s="75"/>
      <c r="G22" s="75"/>
      <c r="H22" s="75"/>
      <c r="I22" s="75"/>
      <c r="J22" s="75"/>
      <c r="K22" s="75"/>
      <c r="L22" s="75"/>
      <c r="M22" s="75"/>
      <c r="N22" s="12"/>
      <c r="O22" s="11"/>
      <c r="P22" s="10"/>
    </row>
    <row r="23" spans="1:17" x14ac:dyDescent="0.25">
      <c r="B23" s="75"/>
      <c r="C23" s="75"/>
      <c r="D23" s="75"/>
      <c r="E23" s="75"/>
      <c r="F23" s="75"/>
      <c r="G23" s="75"/>
      <c r="H23" s="75"/>
      <c r="I23" s="75"/>
      <c r="J23" s="75"/>
      <c r="K23" s="75"/>
      <c r="L23" s="75"/>
    </row>
    <row r="24" spans="1:17" x14ac:dyDescent="0.25">
      <c r="B24" s="75"/>
      <c r="C24" s="75"/>
      <c r="D24" s="75"/>
      <c r="E24" s="75"/>
      <c r="F24" s="75"/>
      <c r="G24" s="75"/>
      <c r="H24" s="75"/>
      <c r="I24" s="75"/>
      <c r="J24" s="75"/>
      <c r="K24" s="75"/>
      <c r="L24" s="75"/>
    </row>
  </sheetData>
  <mergeCells count="2">
    <mergeCell ref="A13:N13"/>
    <mergeCell ref="A12:N12"/>
  </mergeCells>
  <pageMargins left="0.75" right="0.75" top="1" bottom="1" header="0.5" footer="0.5"/>
  <pageSetup orientation="portrait" r:id="rId1"/>
  <headerFooter alignWithMargins="0"/>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W118"/>
  <sheetViews>
    <sheetView workbookViewId="0">
      <selection activeCell="B19" sqref="B19"/>
    </sheetView>
  </sheetViews>
  <sheetFormatPr defaultColWidth="8.5703125" defaultRowHeight="15" x14ac:dyDescent="0.25"/>
  <cols>
    <col min="1" max="1" width="22.5703125" style="75" bestFit="1" customWidth="1"/>
    <col min="2" max="3" width="15.140625" style="75" bestFit="1" customWidth="1"/>
    <col min="4" max="4" width="11.42578125" style="75" bestFit="1" customWidth="1"/>
    <col min="5" max="5" width="14.7109375" style="75" bestFit="1" customWidth="1"/>
    <col min="6" max="6" width="12" style="75" customWidth="1"/>
    <col min="7" max="7" width="16.140625" style="75" bestFit="1" customWidth="1"/>
    <col min="8" max="9" width="12.5703125" style="75" bestFit="1" customWidth="1"/>
    <col min="10" max="10" width="11.5703125" style="75" bestFit="1" customWidth="1"/>
    <col min="11" max="12" width="12.140625" style="75" bestFit="1" customWidth="1"/>
    <col min="13" max="13" width="11.7109375" style="75" bestFit="1" customWidth="1"/>
    <col min="14" max="14" width="11.140625" style="75" bestFit="1" customWidth="1"/>
    <col min="15" max="15" width="13.140625" style="75" customWidth="1"/>
    <col min="16" max="16" width="11" style="75" bestFit="1" customWidth="1"/>
    <col min="17" max="17" width="8.5703125" style="75"/>
    <col min="18" max="18" width="11" style="75" bestFit="1" customWidth="1"/>
    <col min="19" max="21" width="8.5703125" style="75"/>
    <col min="22" max="23" width="11" style="75" bestFit="1" customWidth="1"/>
    <col min="24" max="16384" width="8.5703125" style="75"/>
  </cols>
  <sheetData>
    <row r="1" spans="1:14" x14ac:dyDescent="0.25">
      <c r="A1" s="76" t="s">
        <v>368</v>
      </c>
    </row>
    <row r="2" spans="1:14" x14ac:dyDescent="0.25">
      <c r="A2" s="45" t="s">
        <v>369</v>
      </c>
    </row>
    <row r="3" spans="1:14" x14ac:dyDescent="0.25">
      <c r="A3" s="78" t="s">
        <v>370</v>
      </c>
    </row>
    <row r="4" spans="1:14" x14ac:dyDescent="0.25">
      <c r="A4" s="79" t="s">
        <v>379</v>
      </c>
    </row>
    <row r="6" spans="1:14" x14ac:dyDescent="0.25">
      <c r="A6" s="1" t="s">
        <v>1</v>
      </c>
      <c r="B6" s="1"/>
      <c r="C6" s="1"/>
      <c r="D6" s="1"/>
    </row>
    <row r="8" spans="1:14" x14ac:dyDescent="0.25">
      <c r="A8" s="3" t="s">
        <v>2</v>
      </c>
      <c r="B8" s="3"/>
      <c r="C8" s="3"/>
      <c r="D8" s="3"/>
    </row>
    <row r="9" spans="1:14" x14ac:dyDescent="0.25">
      <c r="L9" s="1"/>
    </row>
    <row r="11" spans="1:14" x14ac:dyDescent="0.25">
      <c r="A11" s="81"/>
      <c r="B11" s="81"/>
      <c r="C11" s="81"/>
      <c r="D11" s="81"/>
      <c r="I11" s="82"/>
      <c r="M11" s="82"/>
    </row>
    <row r="12" spans="1:14" x14ac:dyDescent="0.25">
      <c r="A12" s="82" t="s">
        <v>3</v>
      </c>
      <c r="B12" s="82"/>
      <c r="C12" s="82"/>
      <c r="D12" s="82" t="s">
        <v>4</v>
      </c>
      <c r="F12" s="82" t="s">
        <v>5</v>
      </c>
      <c r="G12" s="82" t="s">
        <v>5</v>
      </c>
      <c r="H12" s="82" t="s">
        <v>6</v>
      </c>
      <c r="I12" s="82"/>
      <c r="K12" s="82"/>
      <c r="L12" s="82"/>
      <c r="M12" s="82"/>
    </row>
    <row r="13" spans="1:14" x14ac:dyDescent="0.25">
      <c r="A13" s="2" t="s">
        <v>7</v>
      </c>
      <c r="B13" s="2" t="s">
        <v>8</v>
      </c>
      <c r="C13" s="2" t="s">
        <v>9</v>
      </c>
      <c r="D13" s="2" t="s">
        <v>10</v>
      </c>
      <c r="F13" s="2" t="s">
        <v>8</v>
      </c>
      <c r="G13" s="2" t="s">
        <v>9</v>
      </c>
      <c r="H13" s="2" t="s">
        <v>10</v>
      </c>
      <c r="I13" s="2"/>
      <c r="K13" s="2"/>
      <c r="L13" s="2"/>
      <c r="M13" s="2"/>
    </row>
    <row r="14" spans="1:14" x14ac:dyDescent="0.25">
      <c r="D14" s="83">
        <f>'Tables 26a,b-MasterInputs'!D13</f>
        <v>1000</v>
      </c>
      <c r="H14" s="84">
        <f>D14*'Tables 26a,b-MasterInputs'!D14</f>
        <v>100000</v>
      </c>
      <c r="K14" s="85"/>
      <c r="L14" s="85"/>
      <c r="M14" s="84"/>
    </row>
    <row r="15" spans="1:14" x14ac:dyDescent="0.25">
      <c r="A15" s="75">
        <v>1</v>
      </c>
      <c r="B15" s="83">
        <f>'Tables 26a,b-MasterInputs'!I56*'Actuarial balances'!D14</f>
        <v>0.8</v>
      </c>
      <c r="C15" s="83">
        <f>'Tables 26a,b-MasterInputs'!J56*('Actuarial balances'!D14-'Actuarial balances'!B15)</f>
        <v>149.88</v>
      </c>
      <c r="D15" s="83">
        <f>D14-B15-C15</f>
        <v>849.32</v>
      </c>
      <c r="F15" s="84">
        <f>'Tables 26a,b-MasterInputs'!D$14*'Actuarial balances'!B15</f>
        <v>80</v>
      </c>
      <c r="G15" s="84">
        <f>'Tables 26a,b-MasterInputs'!D$14*'Actuarial balances'!C15</f>
        <v>14988</v>
      </c>
      <c r="H15" s="84">
        <f>H14-F15-G15</f>
        <v>84932</v>
      </c>
      <c r="I15" s="84"/>
      <c r="J15" s="83"/>
      <c r="K15" s="85"/>
      <c r="L15" s="86"/>
      <c r="M15" s="84"/>
      <c r="N15" s="86"/>
    </row>
    <row r="16" spans="1:14" x14ac:dyDescent="0.25">
      <c r="A16" s="75">
        <f>A15+1</f>
        <v>2</v>
      </c>
      <c r="B16" s="83">
        <f>'Tables 26a,b-MasterInputs'!I57*'Actuarial balances'!D15</f>
        <v>0.93425200000000008</v>
      </c>
      <c r="C16" s="83">
        <f>'Tables 26a,b-MasterInputs'!J57*('Actuarial balances'!D15-'Actuarial balances'!B16)</f>
        <v>101.80628976</v>
      </c>
      <c r="D16" s="83">
        <f t="shared" ref="D16:D24" si="0">D15-B16-C16</f>
        <v>746.57945824000001</v>
      </c>
      <c r="F16" s="84">
        <f>'Tables 26a,b-MasterInputs'!D$14*'Actuarial balances'!B16</f>
        <v>93.425200000000004</v>
      </c>
      <c r="G16" s="84">
        <f>'Tables 26a,b-MasterInputs'!D$14*'Actuarial balances'!C16</f>
        <v>10180.628976</v>
      </c>
      <c r="H16" s="84">
        <f t="shared" ref="H16:H34" si="1">H15-F16-G16</f>
        <v>74657.945823999995</v>
      </c>
      <c r="I16" s="84"/>
      <c r="J16" s="83"/>
      <c r="K16" s="85"/>
      <c r="L16" s="86"/>
      <c r="M16" s="84"/>
      <c r="N16" s="86"/>
    </row>
    <row r="17" spans="1:14" x14ac:dyDescent="0.25">
      <c r="A17" s="75">
        <f t="shared" ref="A17:A34" si="2">A16+1</f>
        <v>3</v>
      </c>
      <c r="B17" s="83">
        <f>'Tables 26a,b-MasterInputs'!I58*'Actuarial balances'!D16</f>
        <v>1.0676086252832</v>
      </c>
      <c r="C17" s="83">
        <f>'Tables 26a,b-MasterInputs'!J58*('Actuarial balances'!D16-'Actuarial balances'!B17)</f>
        <v>74.551184961471677</v>
      </c>
      <c r="D17" s="83">
        <f t="shared" si="0"/>
        <v>670.96066465324509</v>
      </c>
      <c r="F17" s="84">
        <f>'Tables 26a,b-MasterInputs'!D$14*'Actuarial balances'!B17</f>
        <v>106.76086252832</v>
      </c>
      <c r="G17" s="84">
        <f>'Tables 26a,b-MasterInputs'!D$14*'Actuarial balances'!C17</f>
        <v>7455.1184961471681</v>
      </c>
      <c r="H17" s="84">
        <f t="shared" si="1"/>
        <v>67096.066465324504</v>
      </c>
      <c r="I17" s="84"/>
      <c r="J17" s="83"/>
      <c r="K17" s="85"/>
      <c r="L17" s="86"/>
      <c r="M17" s="84"/>
      <c r="N17" s="86"/>
    </row>
    <row r="18" spans="1:14" x14ac:dyDescent="0.25">
      <c r="A18" s="75">
        <f t="shared" si="2"/>
        <v>4</v>
      </c>
      <c r="B18" s="83">
        <f>'Tables 26a,b-MasterInputs'!I59*'Actuarial balances'!D17</f>
        <v>1.147342736557049</v>
      </c>
      <c r="C18" s="83">
        <f>'Tables 26a,b-MasterInputs'!J59*('Actuarial balances'!D17-'Actuarial balances'!B18)</f>
        <v>60.283198972501928</v>
      </c>
      <c r="D18" s="83">
        <f t="shared" si="0"/>
        <v>609.53012294418613</v>
      </c>
      <c r="F18" s="84">
        <f>'Tables 26a,b-MasterInputs'!D$14*'Actuarial balances'!B18</f>
        <v>114.7342736557049</v>
      </c>
      <c r="G18" s="84">
        <f>'Tables 26a,b-MasterInputs'!D$14*'Actuarial balances'!C18</f>
        <v>6028.3198972501932</v>
      </c>
      <c r="H18" s="84">
        <f t="shared" si="1"/>
        <v>60953.012294418608</v>
      </c>
      <c r="I18" s="84"/>
      <c r="J18" s="83"/>
      <c r="K18" s="85"/>
      <c r="L18" s="86"/>
      <c r="M18" s="84"/>
      <c r="N18" s="86"/>
    </row>
    <row r="19" spans="1:14" x14ac:dyDescent="0.25">
      <c r="A19" s="75">
        <f t="shared" si="2"/>
        <v>5</v>
      </c>
      <c r="B19" s="83">
        <f>'Tables 26a,b-MasterInputs'!I60*'Actuarial balances'!D18</f>
        <v>1.1824884385117211</v>
      </c>
      <c r="C19" s="83">
        <f>'Tables 26a,b-MasterInputs'!J60*('Actuarial balances'!D18-'Actuarial balances'!B19)</f>
        <v>48.667810760453953</v>
      </c>
      <c r="D19" s="83">
        <f t="shared" si="0"/>
        <v>559.67982374522046</v>
      </c>
      <c r="F19" s="84">
        <f>'Tables 26a,b-MasterInputs'!D$14*'Actuarial balances'!B19</f>
        <v>118.24884385117211</v>
      </c>
      <c r="G19" s="84">
        <f>'Tables 26a,b-MasterInputs'!D$14*'Actuarial balances'!C19</f>
        <v>4866.7810760453949</v>
      </c>
      <c r="H19" s="84">
        <f t="shared" si="1"/>
        <v>55967.982374522042</v>
      </c>
      <c r="I19" s="84"/>
      <c r="J19" s="83"/>
      <c r="K19" s="85"/>
      <c r="L19" s="86"/>
      <c r="M19" s="84"/>
      <c r="N19" s="86"/>
    </row>
    <row r="20" spans="1:14" x14ac:dyDescent="0.25">
      <c r="A20" s="75">
        <f t="shared" si="2"/>
        <v>6</v>
      </c>
      <c r="B20" s="83">
        <f>'Tables 26a,b-MasterInputs'!I61*'Actuarial balances'!D19</f>
        <v>1.2424892087143895</v>
      </c>
      <c r="C20" s="83">
        <f>'Tables 26a,b-MasterInputs'!J61*('Actuarial balances'!D19-'Actuarial balances'!B20)</f>
        <v>39.090613417555431</v>
      </c>
      <c r="D20" s="83">
        <f t="shared" si="0"/>
        <v>519.34672111895065</v>
      </c>
      <c r="F20" s="84">
        <f>'Tables 26a,b-MasterInputs'!D$14*'Actuarial balances'!B20</f>
        <v>124.24892087143895</v>
      </c>
      <c r="G20" s="84">
        <f>'Tables 26a,b-MasterInputs'!D$14*'Actuarial balances'!C20</f>
        <v>3909.0613417555433</v>
      </c>
      <c r="H20" s="84">
        <f t="shared" si="1"/>
        <v>51934.672111895059</v>
      </c>
      <c r="I20" s="84"/>
      <c r="J20" s="83"/>
      <c r="K20" s="85"/>
      <c r="L20" s="86"/>
      <c r="M20" s="84"/>
      <c r="N20" s="86"/>
    </row>
    <row r="21" spans="1:14" x14ac:dyDescent="0.25">
      <c r="A21" s="75">
        <f t="shared" si="2"/>
        <v>7</v>
      </c>
      <c r="B21" s="83">
        <f>'Tables 26a,b-MasterInputs'!I62*'Actuarial balances'!D20</f>
        <v>1.3139472044309453</v>
      </c>
      <c r="C21" s="83">
        <f>'Tables 26a,b-MasterInputs'!J62*('Actuarial balances'!D20-'Actuarial balances'!B21)</f>
        <v>31.08196643487118</v>
      </c>
      <c r="D21" s="83">
        <f t="shared" si="0"/>
        <v>486.95080747964852</v>
      </c>
      <c r="F21" s="84">
        <f>'Tables 26a,b-MasterInputs'!D$14*'Actuarial balances'!B21</f>
        <v>131.39472044309451</v>
      </c>
      <c r="G21" s="84">
        <f>'Tables 26a,b-MasterInputs'!D$14*'Actuarial balances'!C21</f>
        <v>3108.1966434871179</v>
      </c>
      <c r="H21" s="84">
        <f t="shared" si="1"/>
        <v>48695.080747964843</v>
      </c>
      <c r="I21" s="84"/>
      <c r="J21" s="83"/>
      <c r="K21" s="85"/>
      <c r="L21" s="86"/>
      <c r="M21" s="84"/>
      <c r="N21" s="86"/>
    </row>
    <row r="22" spans="1:14" x14ac:dyDescent="0.25">
      <c r="A22" s="75">
        <f t="shared" si="2"/>
        <v>8</v>
      </c>
      <c r="B22" s="83">
        <f>'Tables 26a,b-MasterInputs'!I63*'Actuarial balances'!D21</f>
        <v>1.3780707851674052</v>
      </c>
      <c r="C22" s="83">
        <f>'Tables 26a,b-MasterInputs'!J63*('Actuarial balances'!D21-'Actuarial balances'!B22)</f>
        <v>24.278636834724058</v>
      </c>
      <c r="D22" s="83">
        <f t="shared" si="0"/>
        <v>461.29409985975707</v>
      </c>
      <c r="F22" s="84">
        <f>'Tables 26a,b-MasterInputs'!D$14*'Actuarial balances'!B22</f>
        <v>137.80707851674052</v>
      </c>
      <c r="G22" s="84">
        <f>'Tables 26a,b-MasterInputs'!D$14*'Actuarial balances'!C22</f>
        <v>2427.8636834724057</v>
      </c>
      <c r="H22" s="84">
        <f t="shared" si="1"/>
        <v>46129.409985975697</v>
      </c>
      <c r="I22" s="84"/>
      <c r="J22" s="83"/>
      <c r="K22" s="85"/>
      <c r="L22" s="86"/>
      <c r="M22" s="84"/>
      <c r="N22" s="86"/>
    </row>
    <row r="23" spans="1:14" x14ac:dyDescent="0.25">
      <c r="A23" s="75">
        <f t="shared" si="2"/>
        <v>9</v>
      </c>
      <c r="B23" s="83">
        <f>'Tables 26a,b-MasterInputs'!I64*'Actuarial balances'!D22</f>
        <v>1.4346246505638445</v>
      </c>
      <c r="C23" s="83">
        <f>'Tables 26a,b-MasterInputs'!J64*('Actuarial balances'!D22-'Actuarial balances'!B23)</f>
        <v>18.394379008367732</v>
      </c>
      <c r="D23" s="83">
        <f t="shared" si="0"/>
        <v>441.46509620082554</v>
      </c>
      <c r="F23" s="84">
        <f>'Tables 26a,b-MasterInputs'!D$14*'Actuarial balances'!B23</f>
        <v>143.46246505638445</v>
      </c>
      <c r="G23" s="84">
        <f>'Tables 26a,b-MasterInputs'!D$14*'Actuarial balances'!C23</f>
        <v>1839.4379008367732</v>
      </c>
      <c r="H23" s="84">
        <f t="shared" si="1"/>
        <v>44146.509620082536</v>
      </c>
      <c r="I23" s="84"/>
      <c r="J23" s="83"/>
      <c r="K23" s="85"/>
      <c r="L23" s="86"/>
      <c r="M23" s="84"/>
      <c r="N23" s="86"/>
    </row>
    <row r="24" spans="1:14" x14ac:dyDescent="0.25">
      <c r="A24" s="75">
        <f t="shared" si="2"/>
        <v>10</v>
      </c>
      <c r="B24" s="83">
        <f>'Tables 26a,b-MasterInputs'!I65*'Actuarial balances'!D23</f>
        <v>1.523054581892848</v>
      </c>
      <c r="C24" s="83">
        <f>'Tables 26a,b-MasterInputs'!J65*('Actuarial balances'!D23-'Actuarial balances'!B24)</f>
        <v>17.59768166475731</v>
      </c>
      <c r="D24" s="83">
        <f t="shared" si="0"/>
        <v>422.34435995417539</v>
      </c>
      <c r="F24" s="84">
        <f>'Tables 26a,b-MasterInputs'!D$14*'Actuarial balances'!B24</f>
        <v>152.30545818928479</v>
      </c>
      <c r="G24" s="84">
        <f>'Tables 26a,b-MasterInputs'!D$14*'Actuarial balances'!C24</f>
        <v>1759.7681664757311</v>
      </c>
      <c r="H24" s="84">
        <f t="shared" si="1"/>
        <v>42234.435995417516</v>
      </c>
      <c r="I24" s="84"/>
      <c r="J24" s="83"/>
      <c r="K24" s="85"/>
      <c r="L24" s="86"/>
      <c r="M24" s="84"/>
      <c r="N24" s="86"/>
    </row>
    <row r="25" spans="1:14" x14ac:dyDescent="0.25">
      <c r="A25" s="75">
        <f t="shared" si="2"/>
        <v>11</v>
      </c>
      <c r="B25" s="83">
        <f>'Tables 26a,b-MasterInputs'!I66*'Actuarial balances'!D24</f>
        <v>1.6513664474208258</v>
      </c>
      <c r="C25" s="83">
        <f>'Tables 26a,b-MasterInputs'!J66*('Actuarial balances'!D24-'Actuarial balances'!B25)</f>
        <v>16.827719740270183</v>
      </c>
      <c r="D25" s="83">
        <f t="shared" ref="D25:D34" si="3">D24-B25-C25</f>
        <v>403.86527376648439</v>
      </c>
      <c r="F25" s="84">
        <f>'Tables 26a,b-MasterInputs'!D$14*'Actuarial balances'!B25</f>
        <v>165.13664474208258</v>
      </c>
      <c r="G25" s="84">
        <f>'Tables 26a,b-MasterInputs'!D$14*'Actuarial balances'!C25</f>
        <v>1682.7719740270184</v>
      </c>
      <c r="H25" s="84">
        <f t="shared" si="1"/>
        <v>40386.527376648417</v>
      </c>
      <c r="I25" s="84"/>
      <c r="J25" s="83"/>
      <c r="K25" s="85"/>
      <c r="L25" s="86"/>
      <c r="M25" s="84"/>
      <c r="N25" s="86"/>
    </row>
    <row r="26" spans="1:14" x14ac:dyDescent="0.25">
      <c r="A26" s="75">
        <f t="shared" si="2"/>
        <v>12</v>
      </c>
      <c r="B26" s="83">
        <f>'Tables 26a,b-MasterInputs'!I67*'Actuarial balances'!D25</f>
        <v>1.8537416065881636</v>
      </c>
      <c r="C26" s="83">
        <f>'Tables 26a,b-MasterInputs'!J67*('Actuarial balances'!D25-'Actuarial balances'!B26)</f>
        <v>16.080461286395849</v>
      </c>
      <c r="D26" s="83">
        <f t="shared" si="3"/>
        <v>385.93107087350035</v>
      </c>
      <c r="F26" s="84">
        <f>'Tables 26a,b-MasterInputs'!D$14*'Actuarial balances'!B26</f>
        <v>185.37416065881635</v>
      </c>
      <c r="G26" s="84">
        <f>'Tables 26a,b-MasterInputs'!D$14*'Actuarial balances'!C26</f>
        <v>1608.0461286395848</v>
      </c>
      <c r="H26" s="84">
        <f t="shared" si="1"/>
        <v>38593.107087350014</v>
      </c>
      <c r="I26" s="84"/>
      <c r="J26" s="83"/>
      <c r="K26" s="85"/>
      <c r="L26" s="86"/>
      <c r="M26" s="84"/>
      <c r="N26" s="86"/>
    </row>
    <row r="27" spans="1:14" x14ac:dyDescent="0.25">
      <c r="A27" s="75">
        <f t="shared" si="2"/>
        <v>13</v>
      </c>
      <c r="B27" s="83">
        <f>'Tables 26a,b-MasterInputs'!I68*'Actuarial balances'!D26</f>
        <v>2.0763091612994318</v>
      </c>
      <c r="C27" s="83">
        <f>'Tables 26a,b-MasterInputs'!J68*('Actuarial balances'!D26-'Actuarial balances'!B27)</f>
        <v>15.354190468488037</v>
      </c>
      <c r="D27" s="83">
        <f t="shared" si="3"/>
        <v>368.5005712437129</v>
      </c>
      <c r="F27" s="84">
        <f>'Tables 26a,b-MasterInputs'!D$14*'Actuarial balances'!B27</f>
        <v>207.63091612994319</v>
      </c>
      <c r="G27" s="84">
        <f>'Tables 26a,b-MasterInputs'!D$14*'Actuarial balances'!C27</f>
        <v>1535.4190468488036</v>
      </c>
      <c r="H27" s="84">
        <f t="shared" si="1"/>
        <v>36850.057124371269</v>
      </c>
      <c r="I27" s="84"/>
      <c r="J27" s="83"/>
      <c r="K27" s="85"/>
      <c r="L27" s="86"/>
      <c r="M27" s="84"/>
      <c r="N27" s="86"/>
    </row>
    <row r="28" spans="1:14" x14ac:dyDescent="0.25">
      <c r="A28" s="75">
        <f t="shared" si="2"/>
        <v>14</v>
      </c>
      <c r="B28" s="83">
        <f>'Tables 26a,b-MasterInputs'!I69*'Actuarial balances'!D27</f>
        <v>2.2699635188612715</v>
      </c>
      <c r="C28" s="83">
        <f>'Tables 26a,b-MasterInputs'!J69*('Actuarial balances'!D27-'Actuarial balances'!B28)</f>
        <v>14.649224308994064</v>
      </c>
      <c r="D28" s="83">
        <f t="shared" si="3"/>
        <v>351.58138341585754</v>
      </c>
      <c r="F28" s="84">
        <f>'Tables 26a,b-MasterInputs'!D$14*'Actuarial balances'!B28</f>
        <v>226.99635188612714</v>
      </c>
      <c r="G28" s="84">
        <f>'Tables 26a,b-MasterInputs'!D$14*'Actuarial balances'!C28</f>
        <v>1464.9224308994064</v>
      </c>
      <c r="H28" s="84">
        <f t="shared" si="1"/>
        <v>35158.138341585734</v>
      </c>
      <c r="I28" s="84"/>
      <c r="J28" s="83"/>
      <c r="K28" s="85"/>
      <c r="L28" s="86"/>
      <c r="M28" s="84"/>
      <c r="N28" s="86"/>
    </row>
    <row r="29" spans="1:14" x14ac:dyDescent="0.25">
      <c r="A29" s="75">
        <f t="shared" si="2"/>
        <v>15</v>
      </c>
      <c r="B29" s="83">
        <f>'Tables 26a,b-MasterInputs'!I70*'Actuarial balances'!D28</f>
        <v>2.4364589870718931</v>
      </c>
      <c r="C29" s="83">
        <f>'Tables 26a,b-MasterInputs'!J70*('Actuarial balances'!D28-'Actuarial balances'!B29)</f>
        <v>13.965796977151427</v>
      </c>
      <c r="D29" s="83">
        <f t="shared" si="3"/>
        <v>335.17912745163426</v>
      </c>
      <c r="F29" s="84">
        <f>'Tables 26a,b-MasterInputs'!D$14*'Actuarial balances'!B29</f>
        <v>243.6458987071893</v>
      </c>
      <c r="G29" s="84">
        <f>'Tables 26a,b-MasterInputs'!D$14*'Actuarial balances'!C29</f>
        <v>1396.5796977151426</v>
      </c>
      <c r="H29" s="84">
        <f t="shared" si="1"/>
        <v>33517.912745163405</v>
      </c>
      <c r="I29" s="84"/>
      <c r="J29" s="83"/>
      <c r="K29" s="85"/>
      <c r="L29" s="86"/>
      <c r="M29" s="84"/>
      <c r="N29" s="86"/>
    </row>
    <row r="30" spans="1:14" x14ac:dyDescent="0.25">
      <c r="A30" s="75">
        <f t="shared" si="2"/>
        <v>16</v>
      </c>
      <c r="B30" s="83">
        <f>'Tables 26a,b-MasterInputs'!I71*'Actuarial balances'!D29</f>
        <v>2.6043418202991981</v>
      </c>
      <c r="C30" s="83">
        <f>'Tables 26a,b-MasterInputs'!J71*('Actuarial balances'!D29-'Actuarial balances'!B30)</f>
        <v>13.302991425253401</v>
      </c>
      <c r="D30" s="83">
        <f t="shared" si="3"/>
        <v>319.27179420608161</v>
      </c>
      <c r="F30" s="84">
        <f>'Tables 26a,b-MasterInputs'!D$14*'Actuarial balances'!B30</f>
        <v>260.43418202991984</v>
      </c>
      <c r="G30" s="84">
        <f>'Tables 26a,b-MasterInputs'!D$14*'Actuarial balances'!C30</f>
        <v>1330.2991425253401</v>
      </c>
      <c r="H30" s="84">
        <f t="shared" si="1"/>
        <v>31927.179420608143</v>
      </c>
      <c r="I30" s="84"/>
      <c r="J30" s="83"/>
      <c r="K30" s="85"/>
      <c r="L30" s="86"/>
      <c r="M30" s="84"/>
      <c r="N30" s="86"/>
    </row>
    <row r="31" spans="1:14" x14ac:dyDescent="0.25">
      <c r="A31" s="75">
        <f t="shared" si="2"/>
        <v>17</v>
      </c>
      <c r="B31" s="83">
        <f>'Tables 26a,b-MasterInputs'!I72*'Actuarial balances'!D30</f>
        <v>2.7074248148675721</v>
      </c>
      <c r="C31" s="83">
        <f>'Tables 26a,b-MasterInputs'!J72*('Actuarial balances'!D30-'Actuarial balances'!B31)</f>
        <v>12.662574775648562</v>
      </c>
      <c r="D31" s="83">
        <f t="shared" si="3"/>
        <v>303.90179461556545</v>
      </c>
      <c r="F31" s="84">
        <f>'Tables 26a,b-MasterInputs'!D$14*'Actuarial balances'!B31</f>
        <v>270.74248148675724</v>
      </c>
      <c r="G31" s="84">
        <f>'Tables 26a,b-MasterInputs'!D$14*'Actuarial balances'!C31</f>
        <v>1266.2574775648561</v>
      </c>
      <c r="H31" s="84">
        <f t="shared" si="1"/>
        <v>30390.179461556527</v>
      </c>
      <c r="I31" s="84"/>
      <c r="J31" s="83"/>
      <c r="K31" s="85"/>
      <c r="L31" s="86"/>
      <c r="M31" s="84"/>
      <c r="N31" s="86"/>
    </row>
    <row r="32" spans="1:14" x14ac:dyDescent="0.25">
      <c r="A32" s="75">
        <f t="shared" si="2"/>
        <v>18</v>
      </c>
      <c r="B32" s="83">
        <f>'Tables 26a,b-MasterInputs'!I73*'Actuarial balances'!D31</f>
        <v>2.8262866899247583</v>
      </c>
      <c r="C32" s="83">
        <f>'Tables 26a,b-MasterInputs'!J73*('Actuarial balances'!D31-'Actuarial balances'!B32)</f>
        <v>12.043020317025627</v>
      </c>
      <c r="D32" s="83">
        <f t="shared" si="3"/>
        <v>289.03248760861504</v>
      </c>
      <c r="F32" s="84">
        <f>'Tables 26a,b-MasterInputs'!D$14*'Actuarial balances'!B32</f>
        <v>282.62866899247581</v>
      </c>
      <c r="G32" s="84">
        <f>'Tables 26a,b-MasterInputs'!D$14*'Actuarial balances'!C32</f>
        <v>1204.3020317025628</v>
      </c>
      <c r="H32" s="84">
        <f t="shared" si="1"/>
        <v>28903.24876086149</v>
      </c>
      <c r="I32" s="84"/>
      <c r="J32" s="83"/>
      <c r="K32" s="85"/>
      <c r="L32" s="86"/>
      <c r="M32" s="84"/>
      <c r="N32" s="86"/>
    </row>
    <row r="33" spans="1:23" x14ac:dyDescent="0.25">
      <c r="A33" s="75">
        <f t="shared" si="2"/>
        <v>19</v>
      </c>
      <c r="B33" s="83">
        <f>'Tables 26a,b-MasterInputs'!I74*'Actuarial balances'!D32</f>
        <v>2.9539120233600458</v>
      </c>
      <c r="C33" s="83">
        <f>'Tables 26a,b-MasterInputs'!J74*('Actuarial balances'!D32-'Actuarial balances'!B33)</f>
        <v>11.443143023410201</v>
      </c>
      <c r="D33" s="83">
        <f t="shared" si="3"/>
        <v>274.63543256184482</v>
      </c>
      <c r="F33" s="84">
        <f>'Tables 26a,b-MasterInputs'!D$14*'Actuarial balances'!B33</f>
        <v>295.3912023360046</v>
      </c>
      <c r="G33" s="84">
        <f>'Tables 26a,b-MasterInputs'!D$14*'Actuarial balances'!C33</f>
        <v>1144.31430234102</v>
      </c>
      <c r="H33" s="84">
        <f t="shared" si="1"/>
        <v>27463.543256184465</v>
      </c>
      <c r="I33" s="84"/>
      <c r="J33" s="83"/>
      <c r="K33" s="85"/>
      <c r="L33" s="86"/>
      <c r="M33" s="84"/>
      <c r="N33" s="86"/>
    </row>
    <row r="34" spans="1:23" x14ac:dyDescent="0.25">
      <c r="A34" s="75">
        <f t="shared" si="2"/>
        <v>20</v>
      </c>
      <c r="B34" s="83">
        <f>'Tables 26a,b-MasterInputs'!I75*'Actuarial balances'!D33</f>
        <v>3.0896486163207539</v>
      </c>
      <c r="C34" s="83">
        <f>'Tables 26a,b-MasterInputs'!J75*('Actuarial balances'!D33-'Actuarial balances'!B34)</f>
        <v>271.54578394552408</v>
      </c>
      <c r="D34" s="83">
        <f t="shared" si="3"/>
        <v>0</v>
      </c>
      <c r="F34" s="84">
        <f>'Tables 26a,b-MasterInputs'!D$14*'Actuarial balances'!B34</f>
        <v>308.96486163207538</v>
      </c>
      <c r="G34" s="84">
        <f>'Tables 26a,b-MasterInputs'!D$14*'Actuarial balances'!C34</f>
        <v>27154.578394552409</v>
      </c>
      <c r="H34" s="84">
        <f t="shared" si="1"/>
        <v>0</v>
      </c>
      <c r="I34" s="84"/>
      <c r="K34" s="85"/>
      <c r="L34" s="86"/>
      <c r="M34" s="84"/>
      <c r="N34" s="86"/>
    </row>
    <row r="35" spans="1:23" x14ac:dyDescent="0.25">
      <c r="L35" s="86"/>
    </row>
    <row r="37" spans="1:23" x14ac:dyDescent="0.25">
      <c r="A37" s="3" t="s">
        <v>11</v>
      </c>
    </row>
    <row r="38" spans="1:23" x14ac:dyDescent="0.25">
      <c r="A38" s="3"/>
      <c r="G38" s="1"/>
    </row>
    <row r="39" spans="1:23" x14ac:dyDescent="0.25">
      <c r="A39" s="3"/>
      <c r="B39" s="4"/>
      <c r="C39" s="1"/>
      <c r="D39" s="1"/>
      <c r="E39" s="82"/>
      <c r="F39" s="4"/>
      <c r="G39" s="82" t="s">
        <v>12</v>
      </c>
      <c r="H39" s="82" t="s">
        <v>12</v>
      </c>
      <c r="I39" s="82" t="s">
        <v>12</v>
      </c>
      <c r="J39" s="82" t="s">
        <v>12</v>
      </c>
      <c r="K39" s="82" t="s">
        <v>12</v>
      </c>
      <c r="L39" s="82" t="s">
        <v>12</v>
      </c>
      <c r="U39" s="1"/>
      <c r="V39" s="1"/>
      <c r="W39" s="1"/>
    </row>
    <row r="40" spans="1:23" x14ac:dyDescent="0.25">
      <c r="B40" s="82"/>
      <c r="C40" s="82"/>
      <c r="D40" s="82"/>
      <c r="E40" s="82"/>
      <c r="F40" s="82"/>
      <c r="G40" s="82" t="s">
        <v>13</v>
      </c>
      <c r="H40" s="82" t="s">
        <v>13</v>
      </c>
      <c r="I40" s="82" t="s">
        <v>13</v>
      </c>
      <c r="J40" s="82" t="s">
        <v>13</v>
      </c>
      <c r="K40" s="82" t="s">
        <v>13</v>
      </c>
      <c r="L40" s="82" t="s">
        <v>13</v>
      </c>
      <c r="V40" s="82"/>
      <c r="W40" s="82"/>
    </row>
    <row r="41" spans="1:23" x14ac:dyDescent="0.25">
      <c r="A41" s="82" t="s">
        <v>3</v>
      </c>
      <c r="B41" s="82"/>
      <c r="C41" s="82" t="s">
        <v>14</v>
      </c>
      <c r="D41" s="82" t="s">
        <v>15</v>
      </c>
      <c r="E41" s="82" t="s">
        <v>16</v>
      </c>
      <c r="F41" s="82" t="s">
        <v>17</v>
      </c>
      <c r="G41" s="82" t="s">
        <v>18</v>
      </c>
      <c r="H41" s="82" t="s">
        <v>19</v>
      </c>
      <c r="I41" s="82" t="s">
        <v>18</v>
      </c>
      <c r="J41" s="82" t="s">
        <v>19</v>
      </c>
      <c r="K41" s="82" t="s">
        <v>20</v>
      </c>
      <c r="L41" s="82" t="s">
        <v>21</v>
      </c>
      <c r="M41" s="82" t="s">
        <v>6</v>
      </c>
      <c r="N41" s="82" t="s">
        <v>22</v>
      </c>
      <c r="O41" s="82" t="s">
        <v>23</v>
      </c>
      <c r="U41" s="82"/>
      <c r="V41" s="82"/>
      <c r="W41" s="82"/>
    </row>
    <row r="42" spans="1:23" x14ac:dyDescent="0.25">
      <c r="A42" s="2" t="s">
        <v>7</v>
      </c>
      <c r="B42" s="2" t="s">
        <v>17</v>
      </c>
      <c r="C42" s="2" t="s">
        <v>24</v>
      </c>
      <c r="D42" s="2" t="s">
        <v>25</v>
      </c>
      <c r="E42" s="2" t="s">
        <v>26</v>
      </c>
      <c r="F42" s="2" t="s">
        <v>27</v>
      </c>
      <c r="G42" s="2" t="s">
        <v>28</v>
      </c>
      <c r="H42" s="2" t="s">
        <v>29</v>
      </c>
      <c r="I42" s="2" t="s">
        <v>23</v>
      </c>
      <c r="J42" s="2" t="s">
        <v>30</v>
      </c>
      <c r="K42" s="2" t="s">
        <v>7</v>
      </c>
      <c r="L42" s="2" t="s">
        <v>5</v>
      </c>
      <c r="M42" s="2" t="s">
        <v>31</v>
      </c>
      <c r="N42" s="2" t="s">
        <v>32</v>
      </c>
      <c r="O42" s="2" t="s">
        <v>25</v>
      </c>
      <c r="U42" s="2"/>
      <c r="V42" s="2"/>
      <c r="W42" s="2"/>
    </row>
    <row r="43" spans="1:23" x14ac:dyDescent="0.25">
      <c r="K43" s="85">
        <v>0</v>
      </c>
    </row>
    <row r="44" spans="1:23" x14ac:dyDescent="0.25">
      <c r="A44" s="75">
        <v>1</v>
      </c>
      <c r="B44" s="85">
        <f>H14*'Tables 26a,b-MasterInputs'!C31</f>
        <v>3500000</v>
      </c>
      <c r="C44" s="85">
        <f>'Tables 26a,b-MasterInputs'!F31*('Actuarial balances'!K43+'Actuarial balances'!B44+D44+E44+F44)</f>
        <v>89632.35707317073</v>
      </c>
      <c r="D44" s="84">
        <f>-'Tables 26a,b-MasterInputs'!E56*(H14*1000/(1+'Tables 26a,b-MasterInputs'!E31)-(K43+B44+E44+F44))</f>
        <v>-150641.56097560978</v>
      </c>
      <c r="E44" s="84">
        <f>-'Tables 26a,b-MasterInputs'!G56*'Actuarial balances'!D14</f>
        <v>-20000</v>
      </c>
      <c r="F44" s="84">
        <f>-'Tables 26a,b-MasterInputs'!F56*'Actuarial balances'!B44</f>
        <v>-70000</v>
      </c>
      <c r="G44" s="85">
        <f t="shared" ref="G44:G63" si="4">B44+C44+D44+E44+F44+K43</f>
        <v>3348990.7960975608</v>
      </c>
      <c r="H44" s="85">
        <f>-G44*'Tables 26a,b-MasterInputs'!I56</f>
        <v>-2679.1926368780487</v>
      </c>
      <c r="I44" s="85">
        <f t="shared" ref="I44:I63" si="5">G44+H44</f>
        <v>3346311.6034606826</v>
      </c>
      <c r="J44" s="85">
        <f>-I44*'Tables 26a,b-MasterInputs'!J56</f>
        <v>-501946.74051910237</v>
      </c>
      <c r="K44" s="85">
        <f t="shared" ref="K44:K63" si="6">I44+J44</f>
        <v>2844364.8629415804</v>
      </c>
      <c r="L44" s="87">
        <f>K44/H15</f>
        <v>33.489907960975607</v>
      </c>
      <c r="M44" s="88">
        <f t="shared" ref="M44:M63" si="7">G15</f>
        <v>14988</v>
      </c>
      <c r="N44" s="89">
        <f>'Tables 26a,b-MasterInputs'!H56</f>
        <v>20</v>
      </c>
      <c r="O44" s="84">
        <f>M44*N44</f>
        <v>299760</v>
      </c>
      <c r="P44" s="90"/>
      <c r="U44" s="84"/>
      <c r="V44" s="85"/>
      <c r="W44" s="85"/>
    </row>
    <row r="45" spans="1:23" x14ac:dyDescent="0.25">
      <c r="A45" s="75">
        <v>2</v>
      </c>
      <c r="B45" s="85">
        <f>H15*'Tables 26a,b-MasterInputs'!C32</f>
        <v>2972620</v>
      </c>
      <c r="C45" s="85">
        <f>'Tables 26a,b-MasterInputs'!F32*('Actuarial balances'!K44+'Actuarial balances'!B45+D45+E45+F45)</f>
        <v>153199.26025550629</v>
      </c>
      <c r="D45" s="84">
        <f>-'Tables 26a,b-MasterInputs'!E57*(H15*1000/(1+'Tables 26a,b-MasterInputs'!E32)-(K44+B45+E45+F45))</f>
        <v>-169663.87183226025</v>
      </c>
      <c r="E45" s="84">
        <f>-'Tables 26a,b-MasterInputs'!G57*'Actuarial balances'!D15</f>
        <v>-16986.400000000001</v>
      </c>
      <c r="F45" s="84">
        <f>-'Tables 26a,b-MasterInputs'!F57*'Actuarial balances'!B45</f>
        <v>-59452.4</v>
      </c>
      <c r="G45" s="85">
        <f t="shared" si="4"/>
        <v>5724081.4513648264</v>
      </c>
      <c r="H45" s="85">
        <f>-G45*'Tables 26a,b-MasterInputs'!I57</f>
        <v>-6296.4895965013093</v>
      </c>
      <c r="I45" s="85">
        <f t="shared" si="5"/>
        <v>5717784.9617683254</v>
      </c>
      <c r="J45" s="85">
        <f>-I45*'Tables 26a,b-MasterInputs'!J57</f>
        <v>-686134.19541219901</v>
      </c>
      <c r="K45" s="85">
        <f t="shared" si="6"/>
        <v>5031650.7663561264</v>
      </c>
      <c r="L45" s="87">
        <f t="shared" ref="L45:L63" si="8">K45/H16</f>
        <v>67.396051563189701</v>
      </c>
      <c r="M45" s="88">
        <f t="shared" si="7"/>
        <v>10180.628976</v>
      </c>
      <c r="N45" s="89">
        <f>'Tables 26a,b-MasterInputs'!H57</f>
        <v>18</v>
      </c>
      <c r="O45" s="84">
        <f t="shared" ref="O45:O63" si="9">M45*N45</f>
        <v>183251.32156800001</v>
      </c>
      <c r="P45" s="90"/>
      <c r="Q45" s="90"/>
      <c r="U45" s="84"/>
      <c r="V45" s="85"/>
      <c r="W45" s="85"/>
    </row>
    <row r="46" spans="1:23" x14ac:dyDescent="0.25">
      <c r="A46" s="75">
        <v>3</v>
      </c>
      <c r="B46" s="85">
        <f>H16*'Tables 26a,b-MasterInputs'!C33</f>
        <v>2613028.10384</v>
      </c>
      <c r="C46" s="85">
        <f>'Tables 26a,b-MasterInputs'!F33*('Actuarial balances'!K45+'Actuarial balances'!B46+D46+E46+F46)</f>
        <v>203248.2224538342</v>
      </c>
      <c r="D46" s="84">
        <f>-'Tables 26a,b-MasterInputs'!E58*(H16*1000/(1+'Tables 26a,b-MasterInputs'!E33)-(K45+B46+E46+F46))</f>
        <v>-186642.26608782914</v>
      </c>
      <c r="E46" s="84">
        <f>-'Tables 26a,b-MasterInputs'!G58*'Actuarial balances'!D16</f>
        <v>-14931.5891648</v>
      </c>
      <c r="F46" s="84">
        <f>-'Tables 26a,b-MasterInputs'!F58*'Actuarial balances'!B46</f>
        <v>-52260.562076800001</v>
      </c>
      <c r="G46" s="85">
        <f t="shared" si="4"/>
        <v>7594092.6753205312</v>
      </c>
      <c r="H46" s="85">
        <f>-G46*'Tables 26a,b-MasterInputs'!I58</f>
        <v>-10859.552525708361</v>
      </c>
      <c r="I46" s="85">
        <f t="shared" si="5"/>
        <v>7583233.1227948228</v>
      </c>
      <c r="J46" s="85">
        <f>-I46*'Tables 26a,b-MasterInputs'!J58</f>
        <v>-758323.31227948237</v>
      </c>
      <c r="K46" s="85">
        <f t="shared" si="6"/>
        <v>6824909.8105153404</v>
      </c>
      <c r="L46" s="87">
        <f t="shared" si="8"/>
        <v>101.71847874334749</v>
      </c>
      <c r="M46" s="88">
        <f t="shared" si="7"/>
        <v>7455.1184961471681</v>
      </c>
      <c r="N46" s="89">
        <f>'Tables 26a,b-MasterInputs'!H58</f>
        <v>16</v>
      </c>
      <c r="O46" s="84">
        <f t="shared" si="9"/>
        <v>119281.89593835469</v>
      </c>
      <c r="P46" s="90"/>
      <c r="U46" s="84"/>
      <c r="V46" s="85"/>
      <c r="W46" s="85"/>
    </row>
    <row r="47" spans="1:23" x14ac:dyDescent="0.25">
      <c r="A47" s="75">
        <v>4</v>
      </c>
      <c r="B47" s="85">
        <f>H17*'Tables 26a,b-MasterInputs'!C34</f>
        <v>2348362.3262863578</v>
      </c>
      <c r="C47" s="85">
        <f>'Tables 26a,b-MasterInputs'!F34*('Actuarial balances'!K46+'Actuarial balances'!B47+D47+E47+F47)</f>
        <v>245304.94979440011</v>
      </c>
      <c r="D47" s="84">
        <f>-'Tables 26a,b-MasterInputs'!E59*(H17*1000/(1+'Tables 26a,b-MasterInputs'!E34)-(K46+B47+E47+F47))</f>
        <v>-192705.68445926462</v>
      </c>
      <c r="E47" s="84">
        <f>-'Tables 26a,b-MasterInputs'!G59*'Actuarial balances'!D17</f>
        <v>-13419.213293064902</v>
      </c>
      <c r="F47" s="84">
        <f>-'Tables 26a,b-MasterInputs'!F59*'Actuarial balances'!B47</f>
        <v>-46967.246525727154</v>
      </c>
      <c r="G47" s="85">
        <f t="shared" si="4"/>
        <v>9165484.9423180409</v>
      </c>
      <c r="H47" s="85">
        <f>-G47*'Tables 26a,b-MasterInputs'!I59</f>
        <v>-15672.979251363849</v>
      </c>
      <c r="I47" s="85">
        <f t="shared" si="5"/>
        <v>9149811.9630666766</v>
      </c>
      <c r="J47" s="85">
        <f>-I47*'Tables 26a,b-MasterInputs'!J59</f>
        <v>-823483.07667600084</v>
      </c>
      <c r="K47" s="85">
        <f t="shared" si="6"/>
        <v>8326328.8863906758</v>
      </c>
      <c r="L47" s="87">
        <f t="shared" si="8"/>
        <v>136.60241837060295</v>
      </c>
      <c r="M47" s="88">
        <f t="shared" si="7"/>
        <v>6028.3198972501932</v>
      </c>
      <c r="N47" s="89">
        <f>'Tables 26a,b-MasterInputs'!H59</f>
        <v>14</v>
      </c>
      <c r="O47" s="84">
        <f t="shared" si="9"/>
        <v>84396.478561502707</v>
      </c>
      <c r="P47" s="90"/>
      <c r="U47" s="84"/>
      <c r="V47" s="85"/>
      <c r="W47" s="85"/>
    </row>
    <row r="48" spans="1:23" x14ac:dyDescent="0.25">
      <c r="A48" s="75">
        <v>5</v>
      </c>
      <c r="B48" s="85">
        <f>H18*'Tables 26a,b-MasterInputs'!C35</f>
        <v>2133355.4303046511</v>
      </c>
      <c r="C48" s="85">
        <f>'Tables 26a,b-MasterInputs'!F35*('Actuarial balances'!K47+'Actuarial balances'!B48+D48+E48+F48)</f>
        <v>280897.86673969007</v>
      </c>
      <c r="D48" s="84">
        <f>-'Tables 26a,b-MasterInputs'!E60*(H18*1000/(1+'Tables 26a,b-MasterInputs'!E35)-(K47+B48+E48+F48))</f>
        <v>-190358.72418707545</v>
      </c>
      <c r="E48" s="84">
        <f>-'Tables 26a,b-MasterInputs'!G60*'Actuarial balances'!D18</f>
        <v>-12190.602458883723</v>
      </c>
      <c r="F48" s="84">
        <f>-'Tables 26a,b-MasterInputs'!F60*'Actuarial balances'!B48</f>
        <v>-42667.108606093025</v>
      </c>
      <c r="G48" s="85">
        <f t="shared" si="4"/>
        <v>10495365.748182965</v>
      </c>
      <c r="H48" s="85">
        <f>-G48*'Tables 26a,b-MasterInputs'!I60</f>
        <v>-20361.009551474956</v>
      </c>
      <c r="I48" s="85">
        <f t="shared" si="5"/>
        <v>10475004.738631491</v>
      </c>
      <c r="J48" s="85">
        <f>-I48*'Tables 26a,b-MasterInputs'!J60</f>
        <v>-838000.37909051927</v>
      </c>
      <c r="K48" s="85">
        <f t="shared" si="6"/>
        <v>9637004.359540971</v>
      </c>
      <c r="L48" s="87">
        <f t="shared" si="8"/>
        <v>172.18781079247847</v>
      </c>
      <c r="M48" s="88">
        <f t="shared" si="7"/>
        <v>4866.7810760453949</v>
      </c>
      <c r="N48" s="89">
        <f>'Tables 26a,b-MasterInputs'!H60</f>
        <v>12</v>
      </c>
      <c r="O48" s="84">
        <f t="shared" si="9"/>
        <v>58401.372912544743</v>
      </c>
      <c r="P48" s="90"/>
      <c r="U48" s="84"/>
      <c r="V48" s="85"/>
      <c r="W48" s="85"/>
    </row>
    <row r="49" spans="1:23" x14ac:dyDescent="0.25">
      <c r="A49" s="75">
        <v>6</v>
      </c>
      <c r="B49" s="85">
        <f>H19*'Tables 26a,b-MasterInputs'!C36</f>
        <v>1958879.3831082715</v>
      </c>
      <c r="C49" s="85">
        <f>'Tables 26a,b-MasterInputs'!F36*('Actuarial balances'!K48+'Actuarial balances'!B49+D49+E49+F49)</f>
        <v>312770.01799449453</v>
      </c>
      <c r="D49" s="84">
        <f>-'Tables 26a,b-MasterInputs'!E61*(H19*1000/(1+'Tables 26a,b-MasterInputs'!E36)-(K48+B49+E49+F49))</f>
        <v>-172057.35871237083</v>
      </c>
      <c r="E49" s="84">
        <f>-'Tables 26a,b-MasterInputs'!G61*'Actuarial balances'!D19</f>
        <v>-11193.596474904409</v>
      </c>
      <c r="F49" s="84">
        <f>-'Tables 26a,b-MasterInputs'!F61*'Actuarial balances'!B49</f>
        <v>-39177.587662165432</v>
      </c>
      <c r="G49" s="85">
        <f t="shared" si="4"/>
        <v>11686225.217794295</v>
      </c>
      <c r="H49" s="85">
        <f>-G49*'Tables 26a,b-MasterInputs'!I61</f>
        <v>-25943.41998350334</v>
      </c>
      <c r="I49" s="85">
        <f t="shared" si="5"/>
        <v>11660281.797810793</v>
      </c>
      <c r="J49" s="85">
        <f>-I49*'Tables 26a,b-MasterInputs'!J61</f>
        <v>-816219.72584675555</v>
      </c>
      <c r="K49" s="85">
        <f t="shared" si="6"/>
        <v>10844062.071964037</v>
      </c>
      <c r="L49" s="87">
        <f t="shared" si="8"/>
        <v>208.80197430726292</v>
      </c>
      <c r="M49" s="88">
        <f t="shared" si="7"/>
        <v>3909.0613417555433</v>
      </c>
      <c r="N49" s="89">
        <f>'Tables 26a,b-MasterInputs'!H61</f>
        <v>10</v>
      </c>
      <c r="O49" s="84">
        <f t="shared" si="9"/>
        <v>39090.613417555433</v>
      </c>
      <c r="P49" s="90"/>
      <c r="U49" s="84"/>
      <c r="V49" s="85"/>
      <c r="W49" s="85"/>
    </row>
    <row r="50" spans="1:23" x14ac:dyDescent="0.25">
      <c r="A50" s="75">
        <v>7</v>
      </c>
      <c r="B50" s="85">
        <f>H20*'Tables 26a,b-MasterInputs'!C37</f>
        <v>1817713.5239163272</v>
      </c>
      <c r="C50" s="85">
        <f>'Tables 26a,b-MasterInputs'!F37*('Actuarial balances'!K49+'Actuarial balances'!B50+D50+E50+F50)</f>
        <v>342677.39264912863</v>
      </c>
      <c r="D50" s="84">
        <f>-'Tables 26a,b-MasterInputs'!E62*(H20*1000/(1+'Tables 26a,b-MasterInputs'!E37)-(K49+B50+E50+F50))</f>
        <v>-154038.29464770583</v>
      </c>
      <c r="E50" s="84">
        <f>-'Tables 26a,b-MasterInputs'!G62*'Actuarial balances'!D20</f>
        <v>-10386.934422379014</v>
      </c>
      <c r="F50" s="84">
        <f>-'Tables 26a,b-MasterInputs'!F62*'Actuarial balances'!B50</f>
        <v>-36354.270478326544</v>
      </c>
      <c r="G50" s="85">
        <f t="shared" si="4"/>
        <v>12803673.488981081</v>
      </c>
      <c r="H50" s="85">
        <f>-G50*'Tables 26a,b-MasterInputs'!I62</f>
        <v>-32393.293927122137</v>
      </c>
      <c r="I50" s="85">
        <f t="shared" si="5"/>
        <v>12771280.195053959</v>
      </c>
      <c r="J50" s="85">
        <f>-I50*'Tables 26a,b-MasterInputs'!J62</f>
        <v>-766276.81170323747</v>
      </c>
      <c r="K50" s="85">
        <f t="shared" si="6"/>
        <v>12005003.383350722</v>
      </c>
      <c r="L50" s="87">
        <f t="shared" si="8"/>
        <v>246.53421246975668</v>
      </c>
      <c r="M50" s="88">
        <f t="shared" si="7"/>
        <v>3108.1966434871179</v>
      </c>
      <c r="N50" s="89">
        <f>'Tables 26a,b-MasterInputs'!H62</f>
        <v>8</v>
      </c>
      <c r="O50" s="84">
        <f t="shared" si="9"/>
        <v>24865.573147896943</v>
      </c>
      <c r="P50" s="90"/>
      <c r="U50" s="84"/>
      <c r="V50" s="85"/>
      <c r="W50" s="85"/>
    </row>
    <row r="51" spans="1:23" x14ac:dyDescent="0.25">
      <c r="A51" s="75">
        <v>8</v>
      </c>
      <c r="B51" s="85">
        <f>H21*'Tables 26a,b-MasterInputs'!C38</f>
        <v>1704327.8261787696</v>
      </c>
      <c r="C51" s="85">
        <f>'Tables 26a,b-MasterInputs'!F38*('Actuarial balances'!K50+'Actuarial balances'!B51+D51+E51+F51)</f>
        <v>372114.16186519357</v>
      </c>
      <c r="D51" s="84">
        <f>-'Tables 26a,b-MasterInputs'!E63*(H21*1000/(1+'Tables 26a,b-MasterInputs'!E38)-(K50+B51+E51+F51))</f>
        <v>-134081.56903110378</v>
      </c>
      <c r="E51" s="84">
        <f>-'Tables 26a,b-MasterInputs'!G63*'Actuarial balances'!D21</f>
        <v>-9739.0161495929697</v>
      </c>
      <c r="F51" s="84">
        <f>-'Tables 26a,b-MasterInputs'!F63*'Actuarial balances'!B51</f>
        <v>-34086.556523575389</v>
      </c>
      <c r="G51" s="85">
        <f t="shared" si="4"/>
        <v>13903538.229690414</v>
      </c>
      <c r="H51" s="85">
        <f>-G51*'Tables 26a,b-MasterInputs'!I63</f>
        <v>-39347.01319002387</v>
      </c>
      <c r="I51" s="85">
        <f t="shared" si="5"/>
        <v>13864191.21650039</v>
      </c>
      <c r="J51" s="85">
        <f>-I51*'Tables 26a,b-MasterInputs'!J63</f>
        <v>-693209.56082501961</v>
      </c>
      <c r="K51" s="85">
        <f t="shared" si="6"/>
        <v>13170981.65567537</v>
      </c>
      <c r="L51" s="87">
        <f t="shared" si="8"/>
        <v>285.52243914846565</v>
      </c>
      <c r="M51" s="88">
        <f t="shared" si="7"/>
        <v>2427.8636834724057</v>
      </c>
      <c r="N51" s="89">
        <f>'Tables 26a,b-MasterInputs'!H63</f>
        <v>6</v>
      </c>
      <c r="O51" s="84">
        <f t="shared" si="9"/>
        <v>14567.182100834434</v>
      </c>
      <c r="P51" s="90"/>
      <c r="U51" s="84"/>
      <c r="V51" s="85"/>
      <c r="W51" s="85"/>
    </row>
    <row r="52" spans="1:23" x14ac:dyDescent="0.25">
      <c r="A52" s="75">
        <v>9</v>
      </c>
      <c r="B52" s="85">
        <f>H22*'Tables 26a,b-MasterInputs'!C39</f>
        <v>1614529.3495091493</v>
      </c>
      <c r="C52" s="85">
        <f>'Tables 26a,b-MasterInputs'!F39*('Actuarial balances'!K51+'Actuarial balances'!B52+D52+E52+F52)</f>
        <v>402354.2343467584</v>
      </c>
      <c r="D52" s="84">
        <f>-'Tables 26a,b-MasterInputs'!E64*(H22*1000/(1+'Tables 26a,b-MasterInputs'!E39)-(K51+B52+E52+F52))</f>
        <v>-112931.46904228916</v>
      </c>
      <c r="E52" s="84">
        <f>-'Tables 26a,b-MasterInputs'!G64*'Actuarial balances'!D22</f>
        <v>-9225.8819971951416</v>
      </c>
      <c r="F52" s="84">
        <f>-'Tables 26a,b-MasterInputs'!F64*'Actuarial balances'!B52</f>
        <v>-32290.586990182986</v>
      </c>
      <c r="G52" s="85">
        <f t="shared" si="4"/>
        <v>15033417.301501611</v>
      </c>
      <c r="H52" s="85">
        <f>-G52*'Tables 26a,b-MasterInputs'!I64</f>
        <v>-46753.927807670007</v>
      </c>
      <c r="I52" s="85">
        <f t="shared" si="5"/>
        <v>14986663.373693941</v>
      </c>
      <c r="J52" s="85">
        <f>-I52*'Tables 26a,b-MasterInputs'!J64</f>
        <v>-599466.53494775761</v>
      </c>
      <c r="K52" s="85">
        <f t="shared" si="6"/>
        <v>14387196.838746183</v>
      </c>
      <c r="L52" s="87">
        <f t="shared" si="8"/>
        <v>325.89658757985598</v>
      </c>
      <c r="M52" s="88">
        <f t="shared" si="7"/>
        <v>1839.4379008367732</v>
      </c>
      <c r="N52" s="89">
        <f>'Tables 26a,b-MasterInputs'!H64</f>
        <v>4</v>
      </c>
      <c r="O52" s="84">
        <f t="shared" si="9"/>
        <v>7357.7516033470929</v>
      </c>
      <c r="P52" s="90"/>
      <c r="U52" s="84"/>
      <c r="V52" s="85"/>
      <c r="W52" s="85"/>
    </row>
    <row r="53" spans="1:23" x14ac:dyDescent="0.25">
      <c r="A53" s="75">
        <v>10</v>
      </c>
      <c r="B53" s="85">
        <f>H23*'Tables 26a,b-MasterInputs'!C40</f>
        <v>1545127.8367028888</v>
      </c>
      <c r="C53" s="85">
        <f>'Tables 26a,b-MasterInputs'!F40*('Actuarial balances'!K52+'Actuarial balances'!B53+D53+E53+F53)</f>
        <v>434467.86820504518</v>
      </c>
      <c r="D53" s="84">
        <f>-'Tables 26a,b-MasterInputs'!E65*(H23*1000/(1+'Tables 26a,b-MasterInputs'!E40)-(K52+B53+E53+F53))</f>
        <v>-93761.245698446437</v>
      </c>
      <c r="E53" s="84">
        <f>-'Tables 26a,b-MasterInputs'!G65*'Actuarial balances'!D23</f>
        <v>-8829.3019240165104</v>
      </c>
      <c r="F53" s="84">
        <f>-'Tables 26a,b-MasterInputs'!F65*'Actuarial balances'!B53</f>
        <v>-30902.556734057776</v>
      </c>
      <c r="G53" s="85">
        <f t="shared" si="4"/>
        <v>16233299.439297596</v>
      </c>
      <c r="H53" s="85">
        <f>-G53*'Tables 26a,b-MasterInputs'!I65</f>
        <v>-56004.883065576709</v>
      </c>
      <c r="I53" s="85">
        <f t="shared" si="5"/>
        <v>16177294.556232018</v>
      </c>
      <c r="J53" s="85">
        <f>-I53*'Tables 26a,b-MasterInputs'!J65</f>
        <v>-647091.78224928072</v>
      </c>
      <c r="K53" s="85">
        <f t="shared" si="6"/>
        <v>15530202.773982737</v>
      </c>
      <c r="L53" s="87">
        <f t="shared" si="8"/>
        <v>367.71422200755285</v>
      </c>
      <c r="M53" s="88">
        <f t="shared" si="7"/>
        <v>1759.7681664757311</v>
      </c>
      <c r="N53" s="89">
        <f>'Tables 26a,b-MasterInputs'!H65</f>
        <v>2</v>
      </c>
      <c r="O53" s="84">
        <f t="shared" si="9"/>
        <v>3519.5363329514621</v>
      </c>
      <c r="P53" s="90"/>
      <c r="U53" s="84"/>
      <c r="V53" s="85"/>
      <c r="W53" s="85"/>
    </row>
    <row r="54" spans="1:23" x14ac:dyDescent="0.25">
      <c r="A54" s="75">
        <v>11</v>
      </c>
      <c r="B54" s="85">
        <f>H24*'Tables 26a,b-MasterInputs'!C41</f>
        <v>1478205.259839613</v>
      </c>
      <c r="C54" s="85">
        <f>'Tables 26a,b-MasterInputs'!F41*('Actuarial balances'!K53+'Actuarial balances'!B54+D54+E54+F54)</f>
        <v>464340.74057485454</v>
      </c>
      <c r="D54" s="84">
        <f>-'Tables 26a,b-MasterInputs'!E66*(H24*1000/(1+'Tables 26a,b-MasterInputs'!E41)-(K53+B54+E54+F54))</f>
        <v>-85279.202340853662</v>
      </c>
      <c r="E54" s="84">
        <f>-'Tables 26a,b-MasterInputs'!G66*'Actuarial balances'!D24</f>
        <v>-8446.8871990835069</v>
      </c>
      <c r="F54" s="84">
        <f>-'Tables 26a,b-MasterInputs'!F66*'Actuarial balances'!B54</f>
        <v>-29564.105196792261</v>
      </c>
      <c r="G54" s="85">
        <f t="shared" si="4"/>
        <v>17349458.579660475</v>
      </c>
      <c r="H54" s="85">
        <f>-G54*'Tables 26a,b-MasterInputs'!I66</f>
        <v>-67836.38304647246</v>
      </c>
      <c r="I54" s="85">
        <f t="shared" si="5"/>
        <v>17281622.196614001</v>
      </c>
      <c r="J54" s="85">
        <f>-I54*'Tables 26a,b-MasterInputs'!J66</f>
        <v>-691264.88786456001</v>
      </c>
      <c r="K54" s="85">
        <f t="shared" si="6"/>
        <v>16590357.308749441</v>
      </c>
      <c r="L54" s="87">
        <f t="shared" si="8"/>
        <v>410.78939899997505</v>
      </c>
      <c r="M54" s="88">
        <f t="shared" si="7"/>
        <v>1682.7719740270184</v>
      </c>
      <c r="N54" s="89">
        <f>'Tables 26a,b-MasterInputs'!H66</f>
        <v>0</v>
      </c>
      <c r="O54" s="84">
        <f t="shared" si="9"/>
        <v>0</v>
      </c>
      <c r="P54" s="90"/>
      <c r="U54" s="84"/>
      <c r="V54" s="85"/>
      <c r="W54" s="85"/>
    </row>
    <row r="55" spans="1:23" x14ac:dyDescent="0.25">
      <c r="A55" s="75">
        <v>12</v>
      </c>
      <c r="B55" s="85">
        <f>H25*'Tables 26a,b-MasterInputs'!C42</f>
        <v>1413528.4581826946</v>
      </c>
      <c r="C55" s="85">
        <f>'Tables 26a,b-MasterInputs'!F42*('Actuarial balances'!K54+'Actuarial balances'!B55+D55+E55+F55)</f>
        <v>491672.34147970937</v>
      </c>
      <c r="D55" s="84">
        <f>-'Tables 26a,b-MasterInputs'!E67*(H25*1000/(1+'Tables 26a,b-MasterInputs'!E42)-(K54+B55+E55+F55))</f>
        <v>-88543.656667361021</v>
      </c>
      <c r="E55" s="84">
        <f>-'Tables 26a,b-MasterInputs'!G67*'Actuarial balances'!D25</f>
        <v>-8077.3054753296874</v>
      </c>
      <c r="F55" s="84">
        <f>-'Tables 26a,b-MasterInputs'!F67*'Actuarial balances'!B55</f>
        <v>-28270.569163653894</v>
      </c>
      <c r="G55" s="85">
        <f t="shared" si="4"/>
        <v>18370666.5771055</v>
      </c>
      <c r="H55" s="85">
        <f>-G55*'Tables 26a,b-MasterInputs'!I67</f>
        <v>-84321.359588914245</v>
      </c>
      <c r="I55" s="85">
        <f t="shared" si="5"/>
        <v>18286345.217516586</v>
      </c>
      <c r="J55" s="85">
        <f>-I55*'Tables 26a,b-MasterInputs'!J67</f>
        <v>-731453.8087006635</v>
      </c>
      <c r="K55" s="85">
        <f t="shared" si="6"/>
        <v>17554891.408815924</v>
      </c>
      <c r="L55" s="87">
        <f t="shared" si="8"/>
        <v>454.87116051793708</v>
      </c>
      <c r="M55" s="88">
        <f t="shared" si="7"/>
        <v>1608.0461286395848</v>
      </c>
      <c r="N55" s="89">
        <f>'Tables 26a,b-MasterInputs'!H67</f>
        <v>0</v>
      </c>
      <c r="O55" s="84">
        <f t="shared" si="9"/>
        <v>0</v>
      </c>
      <c r="P55" s="90"/>
      <c r="U55" s="84"/>
      <c r="V55" s="85"/>
      <c r="W55" s="85"/>
    </row>
    <row r="56" spans="1:23" x14ac:dyDescent="0.25">
      <c r="A56" s="75">
        <v>13</v>
      </c>
      <c r="B56" s="85">
        <f>H26*'Tables 26a,b-MasterInputs'!C43</f>
        <v>1350758.7480572504</v>
      </c>
      <c r="C56" s="85">
        <f>'Tables 26a,b-MasterInputs'!F43*('Actuarial balances'!K55+'Actuarial balances'!B56+D56+E56+F56)</f>
        <v>516449.42978234682</v>
      </c>
      <c r="D56" s="84">
        <f>-'Tables 26a,b-MasterInputs'!E68*(H26*1000/(1+'Tables 26a,b-MasterInputs'!E43)-(K55+B56+E56+F56))</f>
        <v>-90937.095681947569</v>
      </c>
      <c r="E56" s="84">
        <f>-'Tables 26a,b-MasterInputs'!G68*'Actuarial balances'!D26</f>
        <v>-7718.6214174700071</v>
      </c>
      <c r="F56" s="84">
        <f>-'Tables 26a,b-MasterInputs'!F68*'Actuarial balances'!B56</f>
        <v>-27015.174961145007</v>
      </c>
      <c r="G56" s="85">
        <f t="shared" si="4"/>
        <v>19296428.694594957</v>
      </c>
      <c r="H56" s="85">
        <f>-G56*'Tables 26a,b-MasterInputs'!I68</f>
        <v>-103814.78637692088</v>
      </c>
      <c r="I56" s="85">
        <f t="shared" si="5"/>
        <v>19192613.908218037</v>
      </c>
      <c r="J56" s="85">
        <f>-I56*'Tables 26a,b-MasterInputs'!J68</f>
        <v>-767704.55632872146</v>
      </c>
      <c r="K56" s="85">
        <f t="shared" si="6"/>
        <v>18424909.351889316</v>
      </c>
      <c r="L56" s="87">
        <f t="shared" si="8"/>
        <v>499.99676499018938</v>
      </c>
      <c r="M56" s="88">
        <f t="shared" si="7"/>
        <v>1535.4190468488036</v>
      </c>
      <c r="N56" s="89">
        <f>'Tables 26a,b-MasterInputs'!H68</f>
        <v>0</v>
      </c>
      <c r="O56" s="84">
        <f t="shared" si="9"/>
        <v>0</v>
      </c>
      <c r="P56" s="90"/>
      <c r="U56" s="84"/>
      <c r="V56" s="85"/>
      <c r="W56" s="85"/>
    </row>
    <row r="57" spans="1:23" x14ac:dyDescent="0.25">
      <c r="A57" s="75">
        <v>14</v>
      </c>
      <c r="B57" s="85">
        <f>H27*'Tables 26a,b-MasterInputs'!C44</f>
        <v>1289751.9993529944</v>
      </c>
      <c r="C57" s="85">
        <f>'Tables 26a,b-MasterInputs'!F44*('Actuarial balances'!K56+'Actuarial balances'!B57+D57+E57+F57)</f>
        <v>538760.65774761571</v>
      </c>
      <c r="D57" s="84">
        <f>-'Tables 26a,b-MasterInputs'!E69*(H27*1000/(1+'Tables 26a,b-MasterInputs'!E44)-(K56+B57+E57+F57))</f>
        <v>-90199.654462534847</v>
      </c>
      <c r="E57" s="84">
        <f>-'Tables 26a,b-MasterInputs'!G69*'Actuarial balances'!D27</f>
        <v>-7370.0114248742575</v>
      </c>
      <c r="F57" s="84">
        <f>-'Tables 26a,b-MasterInputs'!F69*'Actuarial balances'!B57</f>
        <v>-25795.039987059889</v>
      </c>
      <c r="G57" s="85">
        <f t="shared" si="4"/>
        <v>20130057.303115457</v>
      </c>
      <c r="H57" s="85">
        <f>-G57*'Tables 26a,b-MasterInputs'!I69</f>
        <v>-124001.15298719121</v>
      </c>
      <c r="I57" s="85">
        <f t="shared" si="5"/>
        <v>20006056.150128268</v>
      </c>
      <c r="J57" s="85">
        <f>-I57*'Tables 26a,b-MasterInputs'!J69</f>
        <v>-800242.2460051307</v>
      </c>
      <c r="K57" s="85">
        <f t="shared" si="6"/>
        <v>19205813.904123139</v>
      </c>
      <c r="L57" s="87">
        <f t="shared" si="8"/>
        <v>546.26936493409619</v>
      </c>
      <c r="M57" s="88">
        <f t="shared" si="7"/>
        <v>1464.9224308994064</v>
      </c>
      <c r="N57" s="89">
        <f>'Tables 26a,b-MasterInputs'!H69</f>
        <v>0</v>
      </c>
      <c r="O57" s="84">
        <f t="shared" si="9"/>
        <v>0</v>
      </c>
      <c r="P57" s="90"/>
      <c r="U57" s="84"/>
      <c r="V57" s="85"/>
      <c r="W57" s="85"/>
    </row>
    <row r="58" spans="1:23" x14ac:dyDescent="0.25">
      <c r="A58" s="75">
        <v>15</v>
      </c>
      <c r="B58" s="85">
        <f>H28*'Tables 26a,b-MasterInputs'!C45</f>
        <v>1230534.8419555007</v>
      </c>
      <c r="C58" s="85">
        <f>'Tables 26a,b-MasterInputs'!F45*('Actuarial balances'!K57+'Actuarial balances'!B58+D58+E58+F58)</f>
        <v>558746.03376052598</v>
      </c>
      <c r="D58" s="84">
        <f>-'Tables 26a,b-MasterInputs'!E70*(H28*1000/(1+'Tables 26a,b-MasterInputs'!E45)-(K57+B58+E58+F58))</f>
        <v>-86668.830279362985</v>
      </c>
      <c r="E58" s="84">
        <f>-'Tables 26a,b-MasterInputs'!G70*'Actuarial balances'!D28</f>
        <v>-7031.6276683171509</v>
      </c>
      <c r="F58" s="84">
        <f>-'Tables 26a,b-MasterInputs'!F70*'Actuarial balances'!B58</f>
        <v>-24610.696839110013</v>
      </c>
      <c r="G58" s="85">
        <f t="shared" si="4"/>
        <v>20876783.625052374</v>
      </c>
      <c r="H58" s="85">
        <f>-G58*'Tables 26a,b-MasterInputs'!I70</f>
        <v>-144676.11052161295</v>
      </c>
      <c r="I58" s="85">
        <f t="shared" si="5"/>
        <v>20732107.514530759</v>
      </c>
      <c r="J58" s="85">
        <f>-I58*'Tables 26a,b-MasterInputs'!J70</f>
        <v>-829284.30058123043</v>
      </c>
      <c r="K58" s="85">
        <f t="shared" si="6"/>
        <v>19902823.213949528</v>
      </c>
      <c r="L58" s="87">
        <f t="shared" si="8"/>
        <v>593.79661750630578</v>
      </c>
      <c r="M58" s="88">
        <f t="shared" si="7"/>
        <v>1396.5796977151426</v>
      </c>
      <c r="N58" s="89">
        <f>'Tables 26a,b-MasterInputs'!H70</f>
        <v>0</v>
      </c>
      <c r="O58" s="84">
        <f t="shared" si="9"/>
        <v>0</v>
      </c>
      <c r="P58" s="90"/>
      <c r="U58" s="84"/>
      <c r="V58" s="85"/>
      <c r="W58" s="85"/>
    </row>
    <row r="59" spans="1:23" x14ac:dyDescent="0.25">
      <c r="A59" s="75">
        <v>16</v>
      </c>
      <c r="B59" s="85">
        <f>H29*'Tables 26a,b-MasterInputs'!C46</f>
        <v>1173126.9460807191</v>
      </c>
      <c r="C59" s="85">
        <f>'Tables 26a,b-MasterInputs'!F46*('Actuarial balances'!K58+'Actuarial balances'!B59+D59+E59+F59)</f>
        <v>576517.79048634483</v>
      </c>
      <c r="D59" s="84">
        <f>-'Tables 26a,b-MasterInputs'!E71*(H29*1000/(1+'Tables 26a,b-MasterInputs'!E46)-(K58+B59+E59+F59))</f>
        <v>-81500.748147062666</v>
      </c>
      <c r="E59" s="84">
        <f>-'Tables 26a,b-MasterInputs'!G71*'Actuarial balances'!D29</f>
        <v>-6703.5825490326852</v>
      </c>
      <c r="F59" s="84">
        <f>-'Tables 26a,b-MasterInputs'!F71*'Actuarial balances'!B59</f>
        <v>-23462.538921614381</v>
      </c>
      <c r="G59" s="85">
        <f t="shared" si="4"/>
        <v>21540801.080898881</v>
      </c>
      <c r="H59" s="85">
        <f>-G59*'Tables 26a,b-MasterInputs'!I71</f>
        <v>-167372.0243985843</v>
      </c>
      <c r="I59" s="85">
        <f t="shared" si="5"/>
        <v>21373429.056500297</v>
      </c>
      <c r="J59" s="85">
        <f>-I59*'Tables 26a,b-MasterInputs'!J71</f>
        <v>-854937.16226001189</v>
      </c>
      <c r="K59" s="85">
        <f t="shared" si="6"/>
        <v>20518491.894240286</v>
      </c>
      <c r="L59" s="87">
        <f t="shared" si="8"/>
        <v>642.66534866516099</v>
      </c>
      <c r="M59" s="88">
        <f t="shared" si="7"/>
        <v>1330.2991425253401</v>
      </c>
      <c r="N59" s="89">
        <f>'Tables 26a,b-MasterInputs'!H71</f>
        <v>0</v>
      </c>
      <c r="O59" s="84">
        <f t="shared" si="9"/>
        <v>0</v>
      </c>
      <c r="P59" s="90"/>
      <c r="U59" s="84"/>
      <c r="V59" s="85"/>
      <c r="W59" s="85"/>
    </row>
    <row r="60" spans="1:23" x14ac:dyDescent="0.25">
      <c r="A60" s="75">
        <v>17</v>
      </c>
      <c r="B60" s="85">
        <f>H30*'Tables 26a,b-MasterInputs'!C47</f>
        <v>1117451.279721285</v>
      </c>
      <c r="C60" s="85">
        <f>'Tables 26a,b-MasterInputs'!F47*('Actuarial balances'!K59+'Actuarial balances'!B60+D60+E60+F60)</f>
        <v>592195.72015122778</v>
      </c>
      <c r="D60" s="84">
        <f>-'Tables 26a,b-MasterInputs'!E72*(H30*1000/(1+'Tables 26a,b-MasterInputs'!E47)-(K59+B60+E60+F60))</f>
        <v>-72818.888802018701</v>
      </c>
      <c r="E60" s="84">
        <f>-'Tables 26a,b-MasterInputs'!G72*'Actuarial balances'!D30</f>
        <v>-6385.4358841216326</v>
      </c>
      <c r="F60" s="84">
        <f>-'Tables 26a,b-MasterInputs'!F72*'Actuarial balances'!B60</f>
        <v>-22349.025594425701</v>
      </c>
      <c r="G60" s="85">
        <f t="shared" si="4"/>
        <v>22126585.543832231</v>
      </c>
      <c r="H60" s="85">
        <f>-G60*'Tables 26a,b-MasterInputs'!I72</f>
        <v>-187633.44541169732</v>
      </c>
      <c r="I60" s="85">
        <f t="shared" si="5"/>
        <v>21938952.098420534</v>
      </c>
      <c r="J60" s="85">
        <f>-I60*'Tables 26a,b-MasterInputs'!J72</f>
        <v>-877558.08393682144</v>
      </c>
      <c r="K60" s="85">
        <f t="shared" si="6"/>
        <v>21061394.014483713</v>
      </c>
      <c r="L60" s="87">
        <f t="shared" si="8"/>
        <v>693.03289377169699</v>
      </c>
      <c r="M60" s="88">
        <f t="shared" si="7"/>
        <v>1266.2574775648561</v>
      </c>
      <c r="N60" s="89">
        <f>'Tables 26a,b-MasterInputs'!H72</f>
        <v>0</v>
      </c>
      <c r="O60" s="84">
        <f t="shared" si="9"/>
        <v>0</v>
      </c>
      <c r="P60" s="90"/>
      <c r="U60" s="84"/>
      <c r="V60" s="85"/>
      <c r="W60" s="85"/>
    </row>
    <row r="61" spans="1:23" x14ac:dyDescent="0.25">
      <c r="A61" s="75">
        <v>18</v>
      </c>
      <c r="B61" s="85">
        <f>H31*'Tables 26a,b-MasterInputs'!C48</f>
        <v>1063656.2811544784</v>
      </c>
      <c r="C61" s="85">
        <f>'Tables 26a,b-MasterInputs'!F48*('Actuarial balances'!K60+'Actuarial balances'!B61+D61+E61+F61)</f>
        <v>605948.61573773075</v>
      </c>
      <c r="D61" s="84">
        <f>-'Tables 26a,b-MasterInputs'!E73*(H31*1000/(1+'Tables 26a,b-MasterInputs'!E48)-(K60+B61+E61+F61))</f>
        <v>-63204.016387127005</v>
      </c>
      <c r="E61" s="84">
        <f>-'Tables 26a,b-MasterInputs'!G73*'Actuarial balances'!D31</f>
        <v>-6078.035892311309</v>
      </c>
      <c r="F61" s="84">
        <f>-'Tables 26a,b-MasterInputs'!F73*'Actuarial balances'!B61</f>
        <v>-21273.125623089571</v>
      </c>
      <c r="G61" s="85">
        <f t="shared" si="4"/>
        <v>22640443.733473394</v>
      </c>
      <c r="H61" s="85">
        <f>-G61*'Tables 26a,b-MasterInputs'!I73</f>
        <v>-210556.12672130254</v>
      </c>
      <c r="I61" s="85">
        <f t="shared" si="5"/>
        <v>22429887.60675209</v>
      </c>
      <c r="J61" s="85">
        <f>-I61*'Tables 26a,b-MasterInputs'!J73</f>
        <v>-897195.50427008362</v>
      </c>
      <c r="K61" s="85">
        <f t="shared" si="6"/>
        <v>21532692.102482006</v>
      </c>
      <c r="L61" s="87">
        <f t="shared" si="8"/>
        <v>744.99210385096524</v>
      </c>
      <c r="M61" s="88">
        <f t="shared" si="7"/>
        <v>1204.3020317025628</v>
      </c>
      <c r="N61" s="89">
        <f>'Tables 26a,b-MasterInputs'!H73</f>
        <v>0</v>
      </c>
      <c r="O61" s="84">
        <f t="shared" si="9"/>
        <v>0</v>
      </c>
      <c r="P61" s="90"/>
      <c r="U61" s="84"/>
      <c r="V61" s="85"/>
      <c r="W61" s="85"/>
    </row>
    <row r="62" spans="1:23" x14ac:dyDescent="0.25">
      <c r="A62" s="75">
        <v>19</v>
      </c>
      <c r="B62" s="85">
        <f>H32*'Tables 26a,b-MasterInputs'!C49</f>
        <v>1011613.7066301522</v>
      </c>
      <c r="C62" s="85">
        <f>'Tables 26a,b-MasterInputs'!F49*('Actuarial balances'!K61+'Actuarial balances'!B62+D62+E62+F62)</f>
        <v>617816.32710071316</v>
      </c>
      <c r="D62" s="84">
        <f>-'Tables 26a,b-MasterInputs'!E74*(H32*1000/(1+'Tables 26a,b-MasterInputs'!E49)-(K61+B62+E62+F62))</f>
        <v>-52244.62701963367</v>
      </c>
      <c r="E62" s="84">
        <f>-'Tables 26a,b-MasterInputs'!G74*'Actuarial balances'!D32</f>
        <v>-5780.6497521723013</v>
      </c>
      <c r="F62" s="84">
        <f>-'Tables 26a,b-MasterInputs'!F74*'Actuarial balances'!B62</f>
        <v>-20232.274132603045</v>
      </c>
      <c r="G62" s="85">
        <f t="shared" si="4"/>
        <v>23083864.585308462</v>
      </c>
      <c r="H62" s="85">
        <f>-G62*'Tables 26a,b-MasterInputs'!I74</f>
        <v>-235917.09606185247</v>
      </c>
      <c r="I62" s="85">
        <f t="shared" si="5"/>
        <v>22847947.489246611</v>
      </c>
      <c r="J62" s="85">
        <f>-I62*'Tables 26a,b-MasterInputs'!J74</f>
        <v>-913917.89956986438</v>
      </c>
      <c r="K62" s="85">
        <f t="shared" si="6"/>
        <v>21934029.589676745</v>
      </c>
      <c r="L62" s="87">
        <f t="shared" si="8"/>
        <v>798.65985918395518</v>
      </c>
      <c r="M62" s="88">
        <f t="shared" si="7"/>
        <v>1144.31430234102</v>
      </c>
      <c r="N62" s="89">
        <f>'Tables 26a,b-MasterInputs'!H74</f>
        <v>0</v>
      </c>
      <c r="O62" s="84">
        <f t="shared" si="9"/>
        <v>0</v>
      </c>
      <c r="P62" s="90"/>
      <c r="U62" s="84"/>
      <c r="V62" s="85"/>
      <c r="W62" s="85"/>
    </row>
    <row r="63" spans="1:23" x14ac:dyDescent="0.25">
      <c r="A63" s="75">
        <v>20</v>
      </c>
      <c r="B63" s="85">
        <f>H33*'Tables 26a,b-MasterInputs'!C50</f>
        <v>961224.01396645629</v>
      </c>
      <c r="C63" s="85">
        <f>'Tables 26a,b-MasterInputs'!F50*('Actuarial balances'!K62+'Actuarial balances'!B63+D63+E63+F63)</f>
        <v>627847.39533840423</v>
      </c>
      <c r="D63" s="84">
        <f>-'Tables 26a,b-MasterInputs'!E75*(H33*1000/(1+'Tables 26a,b-MasterInputs'!E50)-(K62+B63+E63+F63))</f>
        <v>-39722.038770661653</v>
      </c>
      <c r="E63" s="84">
        <f>-'Tables 26a,b-MasterInputs'!G75*'Actuarial balances'!D33</f>
        <v>-5492.7086512368969</v>
      </c>
      <c r="F63" s="84">
        <f>-'Tables 26a,b-MasterInputs'!F75*'Actuarial balances'!B63</f>
        <v>-19224.480279329127</v>
      </c>
      <c r="G63" s="85">
        <f t="shared" si="4"/>
        <v>23458661.771280378</v>
      </c>
      <c r="H63" s="85">
        <f>-G63*'Tables 26a,b-MasterInputs'!I75</f>
        <v>-263909.94492690422</v>
      </c>
      <c r="I63" s="85">
        <f t="shared" si="5"/>
        <v>23194751.826353475</v>
      </c>
      <c r="J63" s="85">
        <f>-I63*'Tables 26a,b-MasterInputs'!J75</f>
        <v>-23194751.826353475</v>
      </c>
      <c r="K63" s="85">
        <f t="shared" si="6"/>
        <v>0</v>
      </c>
      <c r="L63" s="87" t="e">
        <f t="shared" si="8"/>
        <v>#DIV/0!</v>
      </c>
      <c r="M63" s="88">
        <f t="shared" si="7"/>
        <v>27154.578394552409</v>
      </c>
      <c r="N63" s="89">
        <f>'Tables 26a,b-MasterInputs'!H75</f>
        <v>0</v>
      </c>
      <c r="O63" s="84">
        <f t="shared" si="9"/>
        <v>0</v>
      </c>
      <c r="P63" s="90"/>
      <c r="U63" s="84"/>
      <c r="V63" s="85"/>
      <c r="W63" s="85"/>
    </row>
    <row r="65" spans="1:7" x14ac:dyDescent="0.25">
      <c r="A65" s="75" t="s">
        <v>33</v>
      </c>
    </row>
    <row r="66" spans="1:7" x14ac:dyDescent="0.25">
      <c r="G66" s="85">
        <v>0</v>
      </c>
    </row>
    <row r="67" spans="1:7" x14ac:dyDescent="0.25">
      <c r="B67" s="82"/>
      <c r="C67" s="82" t="s">
        <v>34</v>
      </c>
      <c r="D67" s="82" t="s">
        <v>35</v>
      </c>
      <c r="F67" s="82" t="s">
        <v>36</v>
      </c>
      <c r="G67" s="82" t="s">
        <v>36</v>
      </c>
    </row>
    <row r="68" spans="1:7" x14ac:dyDescent="0.25">
      <c r="A68" s="82" t="s">
        <v>3</v>
      </c>
      <c r="B68" s="82" t="s">
        <v>34</v>
      </c>
      <c r="C68" s="82" t="s">
        <v>37</v>
      </c>
      <c r="D68" s="82" t="s">
        <v>34</v>
      </c>
      <c r="E68" s="82" t="s">
        <v>6</v>
      </c>
      <c r="F68" s="82" t="s">
        <v>38</v>
      </c>
      <c r="G68" s="82" t="s">
        <v>39</v>
      </c>
    </row>
    <row r="69" spans="1:7" x14ac:dyDescent="0.25">
      <c r="A69" s="2" t="s">
        <v>7</v>
      </c>
      <c r="B69" s="2" t="s">
        <v>40</v>
      </c>
      <c r="C69" s="2" t="s">
        <v>41</v>
      </c>
      <c r="D69" s="2" t="s">
        <v>41</v>
      </c>
      <c r="E69" s="2" t="s">
        <v>10</v>
      </c>
      <c r="F69" s="2" t="s">
        <v>42</v>
      </c>
      <c r="G69" s="2" t="s">
        <v>7</v>
      </c>
    </row>
    <row r="70" spans="1:7" x14ac:dyDescent="0.25">
      <c r="E70" s="88">
        <f>H14</f>
        <v>100000</v>
      </c>
      <c r="G70" s="85"/>
    </row>
    <row r="71" spans="1:7" x14ac:dyDescent="0.25">
      <c r="A71" s="75">
        <v>1</v>
      </c>
      <c r="B71" s="85">
        <f>'Tables 26a,b-MasterInputs'!H31*'Actuarial balances'!B44</f>
        <v>1994999.9999999998</v>
      </c>
      <c r="C71" s="85">
        <f>'Tables 26a,b-MasterInputs'!J31*'Actuarial balances'!D14</f>
        <v>125000</v>
      </c>
      <c r="D71" s="85">
        <f>B71+C71</f>
        <v>2120000</v>
      </c>
      <c r="E71" s="88">
        <f t="shared" ref="E71:E90" si="10">H15</f>
        <v>84932</v>
      </c>
      <c r="F71" s="91">
        <f>E70/E$92</f>
        <v>0.10204737557842294</v>
      </c>
      <c r="G71" s="88">
        <f>D$71*F71</f>
        <v>216340.43622625663</v>
      </c>
    </row>
    <row r="72" spans="1:7" x14ac:dyDescent="0.25">
      <c r="A72" s="75">
        <f>A71+1</f>
        <v>2</v>
      </c>
      <c r="B72" s="85">
        <f>'Tables 26a,b-MasterInputs'!H32*'Actuarial balances'!B45</f>
        <v>0</v>
      </c>
      <c r="C72" s="85">
        <v>0</v>
      </c>
      <c r="D72" s="85">
        <v>0</v>
      </c>
      <c r="E72" s="88">
        <f t="shared" si="10"/>
        <v>74657.945823999995</v>
      </c>
      <c r="F72" s="91">
        <f t="shared" ref="F72:F90" si="11">E71/E$92</f>
        <v>8.6670877026266177E-2</v>
      </c>
      <c r="G72" s="88">
        <f t="shared" ref="G72:G90" si="12">D$71*F72</f>
        <v>183742.25929568429</v>
      </c>
    </row>
    <row r="73" spans="1:7" x14ac:dyDescent="0.25">
      <c r="A73" s="75">
        <f t="shared" ref="A73:A89" si="13">A72+1</f>
        <v>3</v>
      </c>
      <c r="B73" s="85">
        <f>'Tables 26a,b-MasterInputs'!H33*'Actuarial balances'!B46</f>
        <v>0</v>
      </c>
      <c r="C73" s="85">
        <v>0</v>
      </c>
      <c r="D73" s="85">
        <v>0</v>
      </c>
      <c r="E73" s="88">
        <f t="shared" si="10"/>
        <v>67096.066465324504</v>
      </c>
      <c r="F73" s="91">
        <f t="shared" si="11"/>
        <v>7.6186474374152796E-2</v>
      </c>
      <c r="G73" s="88">
        <f t="shared" si="12"/>
        <v>161515.32567320392</v>
      </c>
    </row>
    <row r="74" spans="1:7" x14ac:dyDescent="0.25">
      <c r="A74" s="75">
        <f t="shared" si="13"/>
        <v>4</v>
      </c>
      <c r="B74" s="85">
        <f>'Tables 26a,b-MasterInputs'!H34*'Actuarial balances'!B47</f>
        <v>0</v>
      </c>
      <c r="C74" s="85">
        <v>0</v>
      </c>
      <c r="D74" s="85">
        <v>0</v>
      </c>
      <c r="E74" s="88">
        <f t="shared" si="10"/>
        <v>60953.012294418608</v>
      </c>
      <c r="F74" s="91">
        <f t="shared" si="11"/>
        <v>6.8469774944217979E-2</v>
      </c>
      <c r="G74" s="88">
        <f t="shared" si="12"/>
        <v>145155.92288174212</v>
      </c>
    </row>
    <row r="75" spans="1:7" x14ac:dyDescent="0.25">
      <c r="A75" s="75">
        <f t="shared" si="13"/>
        <v>5</v>
      </c>
      <c r="B75" s="85">
        <f>'Tables 26a,b-MasterInputs'!H35*'Actuarial balances'!B48</f>
        <v>0</v>
      </c>
      <c r="C75" s="85">
        <v>0</v>
      </c>
      <c r="D75" s="85">
        <v>0</v>
      </c>
      <c r="E75" s="88">
        <f t="shared" si="10"/>
        <v>55967.982374522042</v>
      </c>
      <c r="F75" s="91">
        <f t="shared" si="11"/>
        <v>6.2200949382447669E-2</v>
      </c>
      <c r="G75" s="88">
        <f t="shared" si="12"/>
        <v>131866.01269078907</v>
      </c>
    </row>
    <row r="76" spans="1:7" x14ac:dyDescent="0.25">
      <c r="A76" s="75">
        <f t="shared" si="13"/>
        <v>6</v>
      </c>
      <c r="B76" s="85">
        <f>'Tables 26a,b-MasterInputs'!H36*'Actuarial balances'!B49</f>
        <v>0</v>
      </c>
      <c r="C76" s="85">
        <v>0</v>
      </c>
      <c r="D76" s="85">
        <v>0</v>
      </c>
      <c r="E76" s="88">
        <f t="shared" si="10"/>
        <v>51934.672111895059</v>
      </c>
      <c r="F76" s="91">
        <f t="shared" si="11"/>
        <v>5.7113857177394062E-2</v>
      </c>
      <c r="G76" s="88">
        <f t="shared" si="12"/>
        <v>121081.37721607542</v>
      </c>
    </row>
    <row r="77" spans="1:7" x14ac:dyDescent="0.25">
      <c r="A77" s="75">
        <f t="shared" si="13"/>
        <v>7</v>
      </c>
      <c r="B77" s="85">
        <f>'Tables 26a,b-MasterInputs'!H37*'Actuarial balances'!B50</f>
        <v>0</v>
      </c>
      <c r="C77" s="85">
        <v>0</v>
      </c>
      <c r="D77" s="85">
        <v>0</v>
      </c>
      <c r="E77" s="88">
        <f t="shared" si="10"/>
        <v>48695.080747964843</v>
      </c>
      <c r="F77" s="91">
        <f t="shared" si="11"/>
        <v>5.2997969905448028E-2</v>
      </c>
      <c r="G77" s="88">
        <f t="shared" si="12"/>
        <v>112355.69619954981</v>
      </c>
    </row>
    <row r="78" spans="1:7" x14ac:dyDescent="0.25">
      <c r="A78" s="75">
        <f t="shared" si="13"/>
        <v>8</v>
      </c>
      <c r="B78" s="85">
        <f>'Tables 26a,b-MasterInputs'!H38*'Actuarial balances'!B51</f>
        <v>0</v>
      </c>
      <c r="C78" s="85">
        <v>0</v>
      </c>
      <c r="D78" s="85">
        <v>0</v>
      </c>
      <c r="E78" s="88">
        <f t="shared" si="10"/>
        <v>46129.409985975697</v>
      </c>
      <c r="F78" s="91">
        <f t="shared" si="11"/>
        <v>4.9692051939092007E-2</v>
      </c>
      <c r="G78" s="88">
        <f t="shared" si="12"/>
        <v>105347.15011087505</v>
      </c>
    </row>
    <row r="79" spans="1:7" x14ac:dyDescent="0.25">
      <c r="A79" s="75">
        <f t="shared" si="13"/>
        <v>9</v>
      </c>
      <c r="B79" s="85">
        <f>'Tables 26a,b-MasterInputs'!H39*'Actuarial balances'!B52</f>
        <v>0</v>
      </c>
      <c r="C79" s="85">
        <v>0</v>
      </c>
      <c r="D79" s="85">
        <v>0</v>
      </c>
      <c r="E79" s="88">
        <f t="shared" si="10"/>
        <v>44146.509620082536</v>
      </c>
      <c r="F79" s="91">
        <f t="shared" si="11"/>
        <v>4.7073852260499156E-2</v>
      </c>
      <c r="G79" s="88">
        <f t="shared" si="12"/>
        <v>99796.566792258207</v>
      </c>
    </row>
    <row r="80" spans="1:7" x14ac:dyDescent="0.25">
      <c r="A80" s="75">
        <f t="shared" si="13"/>
        <v>10</v>
      </c>
      <c r="B80" s="85">
        <f>'Tables 26a,b-MasterInputs'!H40*'Actuarial balances'!B53</f>
        <v>0</v>
      </c>
      <c r="C80" s="85">
        <v>0</v>
      </c>
      <c r="D80" s="85">
        <v>0</v>
      </c>
      <c r="E80" s="88">
        <f t="shared" si="10"/>
        <v>42234.435995417516</v>
      </c>
      <c r="F80" s="91">
        <f t="shared" si="11"/>
        <v>4.5050354476770242E-2</v>
      </c>
      <c r="G80" s="88">
        <f t="shared" si="12"/>
        <v>95506.751490752911</v>
      </c>
    </row>
    <row r="81" spans="1:7" x14ac:dyDescent="0.25">
      <c r="A81" s="75">
        <f t="shared" si="13"/>
        <v>11</v>
      </c>
      <c r="B81" s="85">
        <f>'Tables 26a,b-MasterInputs'!H41*'Actuarial balances'!B54</f>
        <v>0</v>
      </c>
      <c r="C81" s="85">
        <v>0</v>
      </c>
      <c r="D81" s="85">
        <v>0</v>
      </c>
      <c r="E81" s="88">
        <f t="shared" si="10"/>
        <v>40386.527376648417</v>
      </c>
      <c r="F81" s="91">
        <f t="shared" si="11"/>
        <v>4.309913352367236E-2</v>
      </c>
      <c r="G81" s="88">
        <f t="shared" si="12"/>
        <v>91370.163070185401</v>
      </c>
    </row>
    <row r="82" spans="1:7" x14ac:dyDescent="0.25">
      <c r="A82" s="75">
        <f t="shared" si="13"/>
        <v>12</v>
      </c>
      <c r="B82" s="85">
        <f>'Tables 26a,b-MasterInputs'!H42*'Actuarial balances'!B55</f>
        <v>0</v>
      </c>
      <c r="C82" s="85">
        <v>0</v>
      </c>
      <c r="D82" s="85">
        <v>0</v>
      </c>
      <c r="E82" s="88">
        <f t="shared" si="10"/>
        <v>38593.107087350014</v>
      </c>
      <c r="F82" s="91">
        <f t="shared" si="11"/>
        <v>4.121339127513101E-2</v>
      </c>
      <c r="G82" s="88">
        <f t="shared" si="12"/>
        <v>87372.389503277736</v>
      </c>
    </row>
    <row r="83" spans="1:7" x14ac:dyDescent="0.25">
      <c r="A83" s="75">
        <f t="shared" si="13"/>
        <v>13</v>
      </c>
      <c r="B83" s="85">
        <f>'Tables 26a,b-MasterInputs'!H43*'Actuarial balances'!B56</f>
        <v>0</v>
      </c>
      <c r="C83" s="85">
        <v>0</v>
      </c>
      <c r="D83" s="85">
        <v>0</v>
      </c>
      <c r="E83" s="88">
        <f t="shared" si="10"/>
        <v>36850.057124371269</v>
      </c>
      <c r="F83" s="91">
        <f t="shared" si="11"/>
        <v>3.9383252936811032E-2</v>
      </c>
      <c r="G83" s="88">
        <f t="shared" si="12"/>
        <v>83492.496226039395</v>
      </c>
    </row>
    <row r="84" spans="1:7" x14ac:dyDescent="0.25">
      <c r="A84" s="75">
        <f t="shared" si="13"/>
        <v>14</v>
      </c>
      <c r="B84" s="85">
        <f>'Tables 26a,b-MasterInputs'!H44*'Actuarial balances'!B57</f>
        <v>0</v>
      </c>
      <c r="C84" s="85">
        <v>0</v>
      </c>
      <c r="D84" s="85">
        <v>0</v>
      </c>
      <c r="E84" s="88">
        <f t="shared" si="10"/>
        <v>35158.138341585734</v>
      </c>
      <c r="F84" s="91">
        <f t="shared" si="11"/>
        <v>3.7604516194570552E-2</v>
      </c>
      <c r="G84" s="88">
        <f t="shared" si="12"/>
        <v>79721.574332489574</v>
      </c>
    </row>
    <row r="85" spans="1:7" x14ac:dyDescent="0.25">
      <c r="A85" s="75">
        <f t="shared" si="13"/>
        <v>15</v>
      </c>
      <c r="B85" s="85">
        <f>'Tables 26a,b-MasterInputs'!H45*'Actuarial balances'!B58</f>
        <v>0</v>
      </c>
      <c r="C85" s="85">
        <v>0</v>
      </c>
      <c r="D85" s="85">
        <v>0</v>
      </c>
      <c r="E85" s="88">
        <f t="shared" si="10"/>
        <v>33517.912745163405</v>
      </c>
      <c r="F85" s="91">
        <f t="shared" si="11"/>
        <v>3.5877957479819512E-2</v>
      </c>
      <c r="G85" s="88">
        <f t="shared" si="12"/>
        <v>76061.269857217369</v>
      </c>
    </row>
    <row r="86" spans="1:7" x14ac:dyDescent="0.25">
      <c r="A86" s="75">
        <f t="shared" si="13"/>
        <v>16</v>
      </c>
      <c r="B86" s="85">
        <f>'Tables 26a,b-MasterInputs'!H46*'Actuarial balances'!B59</f>
        <v>0</v>
      </c>
      <c r="C86" s="85">
        <v>0</v>
      </c>
      <c r="D86" s="85">
        <v>0</v>
      </c>
      <c r="E86" s="88">
        <f t="shared" si="10"/>
        <v>31927.179420608143</v>
      </c>
      <c r="F86" s="91">
        <f t="shared" si="11"/>
        <v>3.4204150305104992E-2</v>
      </c>
      <c r="G86" s="88">
        <f t="shared" si="12"/>
        <v>72512.798646822586</v>
      </c>
    </row>
    <row r="87" spans="1:7" x14ac:dyDescent="0.25">
      <c r="A87" s="75">
        <f t="shared" si="13"/>
        <v>17</v>
      </c>
      <c r="B87" s="85">
        <f>'Tables 26a,b-MasterInputs'!H47*'Actuarial balances'!B60</f>
        <v>0</v>
      </c>
      <c r="C87" s="85">
        <v>0</v>
      </c>
      <c r="D87" s="85">
        <v>0</v>
      </c>
      <c r="E87" s="88">
        <f t="shared" si="10"/>
        <v>30390.179461556527</v>
      </c>
      <c r="F87" s="91">
        <f t="shared" si="11"/>
        <v>3.2580848694944951E-2</v>
      </c>
      <c r="G87" s="88">
        <f t="shared" si="12"/>
        <v>69071.3992332833</v>
      </c>
    </row>
    <row r="88" spans="1:7" x14ac:dyDescent="0.25">
      <c r="A88" s="75">
        <f t="shared" si="13"/>
        <v>18</v>
      </c>
      <c r="B88" s="85">
        <f>'Tables 26a,b-MasterInputs'!H48*'Actuarial balances'!B61</f>
        <v>0</v>
      </c>
      <c r="C88" s="85">
        <v>0</v>
      </c>
      <c r="D88" s="85">
        <v>0</v>
      </c>
      <c r="E88" s="88">
        <f t="shared" si="10"/>
        <v>28903.24876086149</v>
      </c>
      <c r="F88" s="91">
        <f t="shared" si="11"/>
        <v>3.101238057409134E-2</v>
      </c>
      <c r="G88" s="88">
        <f t="shared" si="12"/>
        <v>65746.246817073639</v>
      </c>
    </row>
    <row r="89" spans="1:7" x14ac:dyDescent="0.25">
      <c r="A89" s="75">
        <f t="shared" si="13"/>
        <v>19</v>
      </c>
      <c r="B89" s="85">
        <f>'Tables 26a,b-MasterInputs'!H49*'Actuarial balances'!B62</f>
        <v>0</v>
      </c>
      <c r="C89" s="85">
        <v>0</v>
      </c>
      <c r="D89" s="85">
        <v>0</v>
      </c>
      <c r="E89" s="88">
        <f t="shared" si="10"/>
        <v>27463.543256184465</v>
      </c>
      <c r="F89" s="91">
        <f t="shared" si="11"/>
        <v>2.9495006817362199E-2</v>
      </c>
      <c r="G89" s="88">
        <f t="shared" si="12"/>
        <v>62529.414452807861</v>
      </c>
    </row>
    <row r="90" spans="1:7" x14ac:dyDescent="0.25">
      <c r="A90" s="75">
        <f>A89+1</f>
        <v>20</v>
      </c>
      <c r="B90" s="85">
        <f>'Tables 26a,b-MasterInputs'!H50*'Actuarial balances'!B63</f>
        <v>0</v>
      </c>
      <c r="C90" s="85">
        <v>0</v>
      </c>
      <c r="D90" s="85">
        <v>0</v>
      </c>
      <c r="E90" s="88">
        <f t="shared" si="10"/>
        <v>0</v>
      </c>
      <c r="F90" s="91">
        <f t="shared" si="11"/>
        <v>2.8025825133781206E-2</v>
      </c>
      <c r="G90" s="88">
        <f t="shared" si="12"/>
        <v>59414.749283616155</v>
      </c>
    </row>
    <row r="91" spans="1:7" x14ac:dyDescent="0.25">
      <c r="B91" s="85"/>
      <c r="C91" s="85"/>
      <c r="D91" s="85"/>
      <c r="E91" s="92"/>
      <c r="F91" s="92"/>
      <c r="G91" s="85"/>
    </row>
    <row r="92" spans="1:7" x14ac:dyDescent="0.25">
      <c r="A92" s="75" t="s">
        <v>43</v>
      </c>
      <c r="B92" s="85"/>
      <c r="C92" s="85"/>
      <c r="D92" s="85"/>
      <c r="E92" s="88">
        <f>SUM(E70:E91)</f>
        <v>979937.00899393007</v>
      </c>
      <c r="F92" s="86">
        <f>SUM(F70:F91)</f>
        <v>1.0000000000000002</v>
      </c>
      <c r="G92" s="85"/>
    </row>
    <row r="93" spans="1:7" x14ac:dyDescent="0.25">
      <c r="B93" s="85"/>
      <c r="C93" s="85"/>
      <c r="D93" s="85"/>
      <c r="E93" s="92"/>
      <c r="F93" s="92"/>
      <c r="G93" s="85"/>
    </row>
    <row r="94" spans="1:7" x14ac:dyDescent="0.25">
      <c r="A94" s="3" t="s">
        <v>44</v>
      </c>
    </row>
    <row r="95" spans="1:7" x14ac:dyDescent="0.25">
      <c r="A95" s="3"/>
    </row>
    <row r="96" spans="1:7" x14ac:dyDescent="0.25">
      <c r="B96" s="82"/>
      <c r="C96" s="82"/>
      <c r="D96" s="82" t="s">
        <v>33</v>
      </c>
    </row>
    <row r="97" spans="1:4" x14ac:dyDescent="0.25">
      <c r="B97" s="2" t="s">
        <v>45</v>
      </c>
      <c r="C97" s="2" t="s">
        <v>36</v>
      </c>
      <c r="D97" s="2" t="s">
        <v>10</v>
      </c>
    </row>
    <row r="98" spans="1:4" x14ac:dyDescent="0.25">
      <c r="D98" s="85">
        <f>G66</f>
        <v>0</v>
      </c>
    </row>
    <row r="99" spans="1:4" x14ac:dyDescent="0.25">
      <c r="A99" s="75">
        <v>1</v>
      </c>
      <c r="B99" s="85">
        <f t="shared" ref="B99:B118" si="14">D71</f>
        <v>2120000</v>
      </c>
      <c r="C99" s="85">
        <f>-G71</f>
        <v>-216340.43622625663</v>
      </c>
      <c r="D99" s="85">
        <f>D98+B99+C99</f>
        <v>1903659.5637737433</v>
      </c>
    </row>
    <row r="100" spans="1:4" x14ac:dyDescent="0.25">
      <c r="A100" s="75">
        <f>A99+1</f>
        <v>2</v>
      </c>
      <c r="B100" s="85">
        <f t="shared" si="14"/>
        <v>0</v>
      </c>
      <c r="C100" s="85">
        <f t="shared" ref="C100:C118" si="15">-G72</f>
        <v>-183742.25929568429</v>
      </c>
      <c r="D100" s="85">
        <f t="shared" ref="D100:D118" si="16">D99+B100+C100</f>
        <v>1719917.3044780591</v>
      </c>
    </row>
    <row r="101" spans="1:4" x14ac:dyDescent="0.25">
      <c r="A101" s="75">
        <f t="shared" ref="A101:A118" si="17">A100+1</f>
        <v>3</v>
      </c>
      <c r="B101" s="85">
        <f t="shared" si="14"/>
        <v>0</v>
      </c>
      <c r="C101" s="85">
        <f t="shared" si="15"/>
        <v>-161515.32567320392</v>
      </c>
      <c r="D101" s="85">
        <f t="shared" si="16"/>
        <v>1558401.9788048551</v>
      </c>
    </row>
    <row r="102" spans="1:4" x14ac:dyDescent="0.25">
      <c r="A102" s="75">
        <f t="shared" si="17"/>
        <v>4</v>
      </c>
      <c r="B102" s="85">
        <f t="shared" si="14"/>
        <v>0</v>
      </c>
      <c r="C102" s="85">
        <f t="shared" si="15"/>
        <v>-145155.92288174212</v>
      </c>
      <c r="D102" s="85">
        <f t="shared" si="16"/>
        <v>1413246.0559231131</v>
      </c>
    </row>
    <row r="103" spans="1:4" x14ac:dyDescent="0.25">
      <c r="A103" s="75">
        <f t="shared" si="17"/>
        <v>5</v>
      </c>
      <c r="B103" s="85">
        <f t="shared" si="14"/>
        <v>0</v>
      </c>
      <c r="C103" s="85">
        <f t="shared" si="15"/>
        <v>-131866.01269078907</v>
      </c>
      <c r="D103" s="85">
        <f t="shared" si="16"/>
        <v>1281380.0432323241</v>
      </c>
    </row>
    <row r="104" spans="1:4" x14ac:dyDescent="0.25">
      <c r="A104" s="75">
        <f t="shared" si="17"/>
        <v>6</v>
      </c>
      <c r="B104" s="85">
        <f t="shared" si="14"/>
        <v>0</v>
      </c>
      <c r="C104" s="85">
        <f t="shared" si="15"/>
        <v>-121081.37721607542</v>
      </c>
      <c r="D104" s="85">
        <f t="shared" si="16"/>
        <v>1160298.6660162488</v>
      </c>
    </row>
    <row r="105" spans="1:4" x14ac:dyDescent="0.25">
      <c r="A105" s="75">
        <f t="shared" si="17"/>
        <v>7</v>
      </c>
      <c r="B105" s="85">
        <f t="shared" si="14"/>
        <v>0</v>
      </c>
      <c r="C105" s="85">
        <f t="shared" si="15"/>
        <v>-112355.69619954981</v>
      </c>
      <c r="D105" s="85">
        <f t="shared" si="16"/>
        <v>1047942.9698166989</v>
      </c>
    </row>
    <row r="106" spans="1:4" x14ac:dyDescent="0.25">
      <c r="A106" s="75">
        <f t="shared" si="17"/>
        <v>8</v>
      </c>
      <c r="B106" s="85">
        <f t="shared" si="14"/>
        <v>0</v>
      </c>
      <c r="C106" s="85">
        <f t="shared" si="15"/>
        <v>-105347.15011087505</v>
      </c>
      <c r="D106" s="85">
        <f t="shared" si="16"/>
        <v>942595.8197058239</v>
      </c>
    </row>
    <row r="107" spans="1:4" x14ac:dyDescent="0.25">
      <c r="A107" s="75">
        <f t="shared" si="17"/>
        <v>9</v>
      </c>
      <c r="B107" s="85">
        <f t="shared" si="14"/>
        <v>0</v>
      </c>
      <c r="C107" s="85">
        <f t="shared" si="15"/>
        <v>-99796.566792258207</v>
      </c>
      <c r="D107" s="85">
        <f t="shared" si="16"/>
        <v>842799.25291356572</v>
      </c>
    </row>
    <row r="108" spans="1:4" x14ac:dyDescent="0.25">
      <c r="A108" s="75">
        <f t="shared" si="17"/>
        <v>10</v>
      </c>
      <c r="B108" s="85">
        <f t="shared" si="14"/>
        <v>0</v>
      </c>
      <c r="C108" s="85">
        <f t="shared" si="15"/>
        <v>-95506.751490752911</v>
      </c>
      <c r="D108" s="85">
        <f t="shared" si="16"/>
        <v>747292.50142281281</v>
      </c>
    </row>
    <row r="109" spans="1:4" x14ac:dyDescent="0.25">
      <c r="A109" s="75">
        <f t="shared" si="17"/>
        <v>11</v>
      </c>
      <c r="B109" s="85">
        <f t="shared" si="14"/>
        <v>0</v>
      </c>
      <c r="C109" s="85">
        <f t="shared" si="15"/>
        <v>-91370.163070185401</v>
      </c>
      <c r="D109" s="85">
        <f t="shared" si="16"/>
        <v>655922.33835262735</v>
      </c>
    </row>
    <row r="110" spans="1:4" x14ac:dyDescent="0.25">
      <c r="A110" s="75">
        <f t="shared" si="17"/>
        <v>12</v>
      </c>
      <c r="B110" s="85">
        <f t="shared" si="14"/>
        <v>0</v>
      </c>
      <c r="C110" s="85">
        <f t="shared" si="15"/>
        <v>-87372.389503277736</v>
      </c>
      <c r="D110" s="85">
        <f t="shared" si="16"/>
        <v>568549.94884934963</v>
      </c>
    </row>
    <row r="111" spans="1:4" x14ac:dyDescent="0.25">
      <c r="A111" s="75">
        <f t="shared" si="17"/>
        <v>13</v>
      </c>
      <c r="B111" s="85">
        <f t="shared" si="14"/>
        <v>0</v>
      </c>
      <c r="C111" s="85">
        <f t="shared" si="15"/>
        <v>-83492.496226039395</v>
      </c>
      <c r="D111" s="85">
        <f t="shared" si="16"/>
        <v>485057.45262331027</v>
      </c>
    </row>
    <row r="112" spans="1:4" x14ac:dyDescent="0.25">
      <c r="A112" s="75">
        <f t="shared" si="17"/>
        <v>14</v>
      </c>
      <c r="B112" s="85">
        <f t="shared" si="14"/>
        <v>0</v>
      </c>
      <c r="C112" s="85">
        <f t="shared" si="15"/>
        <v>-79721.574332489574</v>
      </c>
      <c r="D112" s="85">
        <f t="shared" si="16"/>
        <v>405335.87829082069</v>
      </c>
    </row>
    <row r="113" spans="1:4" x14ac:dyDescent="0.25">
      <c r="A113" s="75">
        <f t="shared" si="17"/>
        <v>15</v>
      </c>
      <c r="B113" s="85">
        <f t="shared" si="14"/>
        <v>0</v>
      </c>
      <c r="C113" s="85">
        <f t="shared" si="15"/>
        <v>-76061.269857217369</v>
      </c>
      <c r="D113" s="85">
        <f t="shared" si="16"/>
        <v>329274.60843360331</v>
      </c>
    </row>
    <row r="114" spans="1:4" x14ac:dyDescent="0.25">
      <c r="A114" s="75">
        <f t="shared" si="17"/>
        <v>16</v>
      </c>
      <c r="B114" s="85">
        <f t="shared" si="14"/>
        <v>0</v>
      </c>
      <c r="C114" s="85">
        <f t="shared" si="15"/>
        <v>-72512.798646822586</v>
      </c>
      <c r="D114" s="85">
        <f t="shared" si="16"/>
        <v>256761.80978678074</v>
      </c>
    </row>
    <row r="115" spans="1:4" x14ac:dyDescent="0.25">
      <c r="A115" s="75">
        <f t="shared" si="17"/>
        <v>17</v>
      </c>
      <c r="B115" s="85">
        <f t="shared" si="14"/>
        <v>0</v>
      </c>
      <c r="C115" s="85">
        <f t="shared" si="15"/>
        <v>-69071.3992332833</v>
      </c>
      <c r="D115" s="85">
        <f t="shared" si="16"/>
        <v>187690.41055349744</v>
      </c>
    </row>
    <row r="116" spans="1:4" x14ac:dyDescent="0.25">
      <c r="A116" s="75">
        <f t="shared" si="17"/>
        <v>18</v>
      </c>
      <c r="B116" s="85">
        <f t="shared" si="14"/>
        <v>0</v>
      </c>
      <c r="C116" s="85">
        <f t="shared" si="15"/>
        <v>-65746.246817073639</v>
      </c>
      <c r="D116" s="85">
        <f t="shared" si="16"/>
        <v>121944.1637364238</v>
      </c>
    </row>
    <row r="117" spans="1:4" x14ac:dyDescent="0.25">
      <c r="A117" s="75">
        <f t="shared" si="17"/>
        <v>19</v>
      </c>
      <c r="B117" s="85">
        <f t="shared" si="14"/>
        <v>0</v>
      </c>
      <c r="C117" s="85">
        <f t="shared" si="15"/>
        <v>-62529.414452807861</v>
      </c>
      <c r="D117" s="85">
        <f t="shared" si="16"/>
        <v>59414.749283615936</v>
      </c>
    </row>
    <row r="118" spans="1:4" x14ac:dyDescent="0.25">
      <c r="A118" s="75">
        <f t="shared" si="17"/>
        <v>20</v>
      </c>
      <c r="B118" s="85">
        <f t="shared" si="14"/>
        <v>0</v>
      </c>
      <c r="C118" s="85">
        <f t="shared" si="15"/>
        <v>-59414.749283616155</v>
      </c>
      <c r="D118" s="85">
        <f t="shared" si="16"/>
        <v>-2.1827872842550278E-10</v>
      </c>
    </row>
  </sheetData>
  <pageMargins left="0.7" right="0.7" top="0.75" bottom="0.75" header="0.3" footer="0.3"/>
  <pageSetup orientation="portrait" horizontalDpi="1200" verticalDpi="1200" r:id="rId1"/>
  <customProperties>
    <customPr name="EpmWorksheetKeyString_GUID" r:id="rId2"/>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7F17E-3972-4ACA-8434-6DBFEAE583D1}">
  <dimension ref="A1:O38"/>
  <sheetViews>
    <sheetView showGridLines="0" zoomScaleNormal="100" workbookViewId="0">
      <selection activeCell="J11" sqref="J11"/>
    </sheetView>
  </sheetViews>
  <sheetFormatPr defaultColWidth="8.7109375" defaultRowHeight="15" x14ac:dyDescent="0.25"/>
  <cols>
    <col min="1" max="1" width="5.140625" style="81" customWidth="1"/>
    <col min="2" max="2" width="10.42578125" style="75" bestFit="1" customWidth="1"/>
    <col min="3" max="6" width="9.42578125" style="75" bestFit="1" customWidth="1"/>
    <col min="7" max="8" width="9.5703125" style="75" bestFit="1" customWidth="1"/>
    <col min="9" max="9" width="11.85546875" style="75" bestFit="1" customWidth="1"/>
    <col min="10" max="11" width="9.42578125" style="75" bestFit="1" customWidth="1"/>
    <col min="12" max="12" width="15.42578125" style="75" bestFit="1" customWidth="1"/>
    <col min="13" max="13" width="11.85546875" style="75" bestFit="1" customWidth="1"/>
    <col min="14" max="14" width="9.42578125" style="75" bestFit="1" customWidth="1"/>
    <col min="15" max="16384" width="8.7109375" style="75"/>
  </cols>
  <sheetData>
    <row r="1" spans="1:14" x14ac:dyDescent="0.25">
      <c r="A1" s="76" t="s">
        <v>368</v>
      </c>
    </row>
    <row r="2" spans="1:14" x14ac:dyDescent="0.25">
      <c r="A2" s="45" t="s">
        <v>369</v>
      </c>
    </row>
    <row r="3" spans="1:14" x14ac:dyDescent="0.25">
      <c r="A3" s="78" t="s">
        <v>370</v>
      </c>
    </row>
    <row r="4" spans="1:14" x14ac:dyDescent="0.25">
      <c r="A4" s="79" t="s">
        <v>379</v>
      </c>
    </row>
    <row r="6" spans="1:14" x14ac:dyDescent="0.25">
      <c r="A6" s="41" t="s">
        <v>324</v>
      </c>
    </row>
    <row r="7" spans="1:14" x14ac:dyDescent="0.25">
      <c r="A7" s="41" t="s">
        <v>46</v>
      </c>
    </row>
    <row r="8" spans="1:14" x14ac:dyDescent="0.25">
      <c r="A8" s="41" t="s">
        <v>235</v>
      </c>
    </row>
    <row r="9" spans="1:14" x14ac:dyDescent="0.25">
      <c r="A9" s="370"/>
    </row>
    <row r="10" spans="1:14" x14ac:dyDescent="0.25">
      <c r="A10" s="42" t="s">
        <v>251</v>
      </c>
      <c r="G10" s="343"/>
      <c r="K10" s="87"/>
      <c r="L10" s="343"/>
    </row>
    <row r="11" spans="1:14" ht="15.75" thickBot="1" x14ac:dyDescent="0.3">
      <c r="A11" s="42"/>
      <c r="G11" s="343"/>
      <c r="K11" s="87"/>
      <c r="L11" s="371"/>
    </row>
    <row r="12" spans="1:14" x14ac:dyDescent="0.25">
      <c r="A12" s="431" t="s">
        <v>324</v>
      </c>
      <c r="B12" s="432"/>
      <c r="C12" s="432"/>
      <c r="D12" s="432"/>
      <c r="E12" s="432"/>
      <c r="F12" s="432"/>
      <c r="G12" s="432"/>
      <c r="H12" s="432"/>
      <c r="I12" s="432"/>
      <c r="J12" s="432"/>
      <c r="K12" s="432"/>
      <c r="L12" s="432"/>
      <c r="M12" s="432"/>
      <c r="N12" s="433"/>
    </row>
    <row r="13" spans="1:14" ht="15.75" thickBot="1" x14ac:dyDescent="0.3">
      <c r="A13" s="434" t="s">
        <v>325</v>
      </c>
      <c r="B13" s="435"/>
      <c r="C13" s="435"/>
      <c r="D13" s="435"/>
      <c r="E13" s="435"/>
      <c r="F13" s="435"/>
      <c r="G13" s="435"/>
      <c r="H13" s="435"/>
      <c r="I13" s="435"/>
      <c r="J13" s="435"/>
      <c r="K13" s="435"/>
      <c r="L13" s="435"/>
      <c r="M13" s="435"/>
      <c r="N13" s="436"/>
    </row>
    <row r="14" spans="1:14" x14ac:dyDescent="0.25">
      <c r="A14" s="372"/>
      <c r="B14" s="295">
        <f>A14-1</f>
        <v>-1</v>
      </c>
      <c r="C14" s="295">
        <f t="shared" ref="C14:N14" si="0">B14-1</f>
        <v>-2</v>
      </c>
      <c r="D14" s="295">
        <f t="shared" si="0"/>
        <v>-3</v>
      </c>
      <c r="E14" s="295">
        <f t="shared" si="0"/>
        <v>-4</v>
      </c>
      <c r="F14" s="295">
        <f t="shared" si="0"/>
        <v>-5</v>
      </c>
      <c r="G14" s="295">
        <f t="shared" si="0"/>
        <v>-6</v>
      </c>
      <c r="H14" s="295">
        <f t="shared" si="0"/>
        <v>-7</v>
      </c>
      <c r="I14" s="295">
        <f t="shared" si="0"/>
        <v>-8</v>
      </c>
      <c r="J14" s="295">
        <f t="shared" si="0"/>
        <v>-9</v>
      </c>
      <c r="K14" s="295">
        <f t="shared" si="0"/>
        <v>-10</v>
      </c>
      <c r="L14" s="295">
        <f t="shared" si="0"/>
        <v>-11</v>
      </c>
      <c r="M14" s="295">
        <f t="shared" si="0"/>
        <v>-12</v>
      </c>
      <c r="N14" s="295">
        <f t="shared" si="0"/>
        <v>-13</v>
      </c>
    </row>
    <row r="15" spans="1:14" x14ac:dyDescent="0.25">
      <c r="A15" s="291"/>
      <c r="B15" s="296" t="s">
        <v>326</v>
      </c>
      <c r="C15" s="296"/>
      <c r="D15" s="296"/>
      <c r="E15" s="296"/>
      <c r="F15" s="296"/>
      <c r="G15" s="373"/>
      <c r="H15" s="296"/>
      <c r="I15" s="296" t="s">
        <v>317</v>
      </c>
      <c r="J15" s="296"/>
      <c r="K15" s="374" t="s">
        <v>35</v>
      </c>
      <c r="L15" s="373" t="s">
        <v>319</v>
      </c>
      <c r="M15" s="296" t="s">
        <v>33</v>
      </c>
      <c r="N15" s="296"/>
    </row>
    <row r="16" spans="1:14" x14ac:dyDescent="0.25">
      <c r="A16" s="291" t="s">
        <v>3</v>
      </c>
      <c r="B16" s="296" t="s">
        <v>327</v>
      </c>
      <c r="C16" s="296" t="s">
        <v>16</v>
      </c>
      <c r="D16" s="296" t="s">
        <v>17</v>
      </c>
      <c r="E16" s="296" t="s">
        <v>23</v>
      </c>
      <c r="F16" s="296" t="s">
        <v>15</v>
      </c>
      <c r="G16" s="373" t="s">
        <v>14</v>
      </c>
      <c r="H16" s="296" t="s">
        <v>125</v>
      </c>
      <c r="I16" s="296" t="s">
        <v>318</v>
      </c>
      <c r="J16" s="296" t="s">
        <v>17</v>
      </c>
      <c r="K16" s="375" t="s">
        <v>252</v>
      </c>
      <c r="L16" s="373" t="s">
        <v>323</v>
      </c>
      <c r="M16" s="296" t="s">
        <v>315</v>
      </c>
      <c r="N16" s="296" t="s">
        <v>51</v>
      </c>
    </row>
    <row r="17" spans="1:15" ht="15.75" thickBot="1" x14ac:dyDescent="0.3">
      <c r="A17" s="145" t="s">
        <v>7</v>
      </c>
      <c r="B17" s="376" t="s">
        <v>53</v>
      </c>
      <c r="C17" s="376" t="s">
        <v>180</v>
      </c>
      <c r="D17" s="376" t="s">
        <v>27</v>
      </c>
      <c r="E17" s="376" t="s">
        <v>25</v>
      </c>
      <c r="F17" s="376" t="s">
        <v>25</v>
      </c>
      <c r="G17" s="377" t="s">
        <v>24</v>
      </c>
      <c r="H17" s="376" t="s">
        <v>29</v>
      </c>
      <c r="I17" s="376" t="s">
        <v>41</v>
      </c>
      <c r="J17" s="376" t="s">
        <v>234</v>
      </c>
      <c r="K17" s="378" t="s">
        <v>253</v>
      </c>
      <c r="L17" s="377" t="s">
        <v>41</v>
      </c>
      <c r="M17" s="376" t="s">
        <v>316</v>
      </c>
      <c r="N17" s="376" t="s">
        <v>53</v>
      </c>
    </row>
    <row r="18" spans="1:15" x14ac:dyDescent="0.25">
      <c r="A18" s="93"/>
      <c r="B18" s="101"/>
      <c r="C18" s="101"/>
      <c r="D18" s="101"/>
      <c r="E18" s="101"/>
      <c r="F18" s="101"/>
      <c r="G18" s="352"/>
      <c r="H18" s="101"/>
      <c r="I18" s="101"/>
      <c r="J18" s="101"/>
      <c r="K18" s="134"/>
      <c r="L18" s="352"/>
      <c r="M18" s="101"/>
      <c r="N18" s="102"/>
    </row>
    <row r="19" spans="1:15" x14ac:dyDescent="0.25">
      <c r="A19" s="163">
        <v>1</v>
      </c>
      <c r="B19" s="88">
        <f>'Table 7-27-TradFormatIncome'!C19</f>
        <v>56062.5</v>
      </c>
      <c r="C19" s="174">
        <f>-'Actuarial balances'!E44</f>
        <v>20000</v>
      </c>
      <c r="D19" s="174">
        <f>-'Actuarial balances'!F44</f>
        <v>70000</v>
      </c>
      <c r="E19" s="174">
        <f>'Actuarial balances'!O44</f>
        <v>299760</v>
      </c>
      <c r="F19" s="174">
        <f>-'Actuarial balances'!D44</f>
        <v>150641.56097560978</v>
      </c>
      <c r="G19" s="354">
        <f>-'Actuarial balances'!C44</f>
        <v>-89632.35707317073</v>
      </c>
      <c r="H19" s="174">
        <f>'Table 7-27-TradFormatIncome'!D19-'Actuarial balances'!H44</f>
        <v>-77320.807363121945</v>
      </c>
      <c r="I19" s="174">
        <f>'Table 7-27-TradFormatIncome'!H19</f>
        <v>-50000</v>
      </c>
      <c r="J19" s="88">
        <f>'Table 7-27-TradFormatIncome'!I19</f>
        <v>-78750</v>
      </c>
      <c r="K19" s="174">
        <f t="shared" ref="K19:K38" si="1">SUM(B19:J19)</f>
        <v>300760.89653931715</v>
      </c>
      <c r="L19" s="354">
        <f>'Table 7-27-TradFormatIncome'!G19</f>
        <v>-130000.00000000009</v>
      </c>
      <c r="M19" s="174">
        <f>'Table 7-27-TradFormatIncome'!J19</f>
        <v>-216340.43622625663</v>
      </c>
      <c r="N19" s="175">
        <f t="shared" ref="N19:N38" si="2">SUM(K19:M19)</f>
        <v>-45579.539686939563</v>
      </c>
      <c r="O19" s="88"/>
    </row>
    <row r="20" spans="1:15" x14ac:dyDescent="0.25">
      <c r="A20" s="163">
        <v>2</v>
      </c>
      <c r="B20" s="88">
        <f>'Table 7-27-TradFormatIncome'!C20</f>
        <v>185739.83745839185</v>
      </c>
      <c r="C20" s="174">
        <f>-'Actuarial balances'!E45</f>
        <v>16986.400000000001</v>
      </c>
      <c r="D20" s="174">
        <f>-'Actuarial balances'!F45</f>
        <v>59452.4</v>
      </c>
      <c r="E20" s="174">
        <f>'Actuarial balances'!O45</f>
        <v>183251.32156800001</v>
      </c>
      <c r="F20" s="174">
        <f>-'Actuarial balances'!D45</f>
        <v>169663.87183226025</v>
      </c>
      <c r="G20" s="354">
        <f>-'Actuarial balances'!C45</f>
        <v>-153199.26025550629</v>
      </c>
      <c r="H20" s="174">
        <f>'Table 7-27-TradFormatIncome'!D20-'Actuarial balances'!H45</f>
        <v>-87128.710403498684</v>
      </c>
      <c r="I20" s="174">
        <f>'Table 7-27-TradFormatIncome'!H20</f>
        <v>-42466</v>
      </c>
      <c r="J20" s="88">
        <f>'Table 7-27-TradFormatIncome'!I20</f>
        <v>-66883.95</v>
      </c>
      <c r="K20" s="174">
        <f t="shared" si="1"/>
        <v>265415.91019964719</v>
      </c>
      <c r="L20" s="354">
        <f>'Table 7-27-TradFormatIncome'!G20</f>
        <v>-89178.599999999991</v>
      </c>
      <c r="M20" s="174">
        <f>'Table 7-27-TradFormatIncome'!J20</f>
        <v>-183742.25929568429</v>
      </c>
      <c r="N20" s="175">
        <f t="shared" si="2"/>
        <v>-7504.9490960370749</v>
      </c>
      <c r="O20" s="88"/>
    </row>
    <row r="21" spans="1:15" x14ac:dyDescent="0.25">
      <c r="A21" s="163">
        <v>3</v>
      </c>
      <c r="B21" s="88">
        <f>'Table 7-27-TradFormatIncome'!C21</f>
        <v>287512.43086772336</v>
      </c>
      <c r="C21" s="174">
        <f>-'Actuarial balances'!E46</f>
        <v>14931.5891648</v>
      </c>
      <c r="D21" s="174">
        <f>-'Actuarial balances'!F46</f>
        <v>52260.562076800001</v>
      </c>
      <c r="E21" s="174">
        <f>'Actuarial balances'!O46</f>
        <v>119281.89593835469</v>
      </c>
      <c r="F21" s="174">
        <f>-'Actuarial balances'!D46</f>
        <v>186642.26608782914</v>
      </c>
      <c r="G21" s="354">
        <f>-'Actuarial balances'!C46</f>
        <v>-203248.2224538342</v>
      </c>
      <c r="H21" s="174">
        <f>'Table 7-27-TradFormatIncome'!D21-'Actuarial balances'!H46</f>
        <v>-95901.310002611644</v>
      </c>
      <c r="I21" s="174">
        <f>'Table 7-27-TradFormatIncome'!H21</f>
        <v>-37328.972911999997</v>
      </c>
      <c r="J21" s="88">
        <f>'Table 7-27-TradFormatIncome'!I21</f>
        <v>-58793.132336399998</v>
      </c>
      <c r="K21" s="174">
        <f t="shared" si="1"/>
        <v>265357.10643066128</v>
      </c>
      <c r="L21" s="354">
        <f>'Table 7-27-TradFormatIncome'!G21</f>
        <v>-78390.843115199998</v>
      </c>
      <c r="M21" s="174">
        <f>'Table 7-27-TradFormatIncome'!J21</f>
        <v>-161515.32567320392</v>
      </c>
      <c r="N21" s="175">
        <f t="shared" si="2"/>
        <v>25450.93764225737</v>
      </c>
      <c r="O21" s="88"/>
    </row>
    <row r="22" spans="1:15" x14ac:dyDescent="0.25">
      <c r="A22" s="163">
        <v>4</v>
      </c>
      <c r="B22" s="88">
        <f>'Table 7-27-TradFormatIncome'!C22</f>
        <v>372901.65513170738</v>
      </c>
      <c r="C22" s="174">
        <f>-'Actuarial balances'!E47</f>
        <v>13419.213293064902</v>
      </c>
      <c r="D22" s="174">
        <f>-'Actuarial balances'!F47</f>
        <v>46967.246525727154</v>
      </c>
      <c r="E22" s="174">
        <f>'Actuarial balances'!O47</f>
        <v>84396.478561502707</v>
      </c>
      <c r="F22" s="174">
        <f>-'Actuarial balances'!D47</f>
        <v>192705.68445926462</v>
      </c>
      <c r="G22" s="354">
        <f>-'Actuarial balances'!C47</f>
        <v>-245304.94979440011</v>
      </c>
      <c r="H22" s="174">
        <f>'Table 7-27-TradFormatIncome'!D22-'Actuarial balances'!H47</f>
        <v>-99061.294404341039</v>
      </c>
      <c r="I22" s="174">
        <f>'Table 7-27-TradFormatIncome'!H22</f>
        <v>-33548.033232662252</v>
      </c>
      <c r="J22" s="88">
        <f>'Table 7-27-TradFormatIncome'!I22</f>
        <v>-52838.152341443048</v>
      </c>
      <c r="K22" s="174">
        <f t="shared" si="1"/>
        <v>279637.84819842031</v>
      </c>
      <c r="L22" s="354">
        <f>'Table 7-27-TradFormatIncome'!G22</f>
        <v>-70450.869788590731</v>
      </c>
      <c r="M22" s="174">
        <f>'Table 7-27-TradFormatIncome'!J22</f>
        <v>-145155.92288174212</v>
      </c>
      <c r="N22" s="175">
        <f t="shared" si="2"/>
        <v>64031.055528087454</v>
      </c>
    </row>
    <row r="23" spans="1:15" x14ac:dyDescent="0.25">
      <c r="A23" s="163">
        <v>5</v>
      </c>
      <c r="B23" s="88">
        <f>'Table 7-27-TradFormatIncome'!C23</f>
        <v>445198.02972670051</v>
      </c>
      <c r="C23" s="174">
        <f>-'Actuarial balances'!E48</f>
        <v>12190.602458883723</v>
      </c>
      <c r="D23" s="174">
        <f>-'Actuarial balances'!F48</f>
        <v>42667.108606093025</v>
      </c>
      <c r="E23" s="174">
        <f>'Actuarial balances'!O48</f>
        <v>58401.372912544743</v>
      </c>
      <c r="F23" s="174">
        <f>-'Actuarial balances'!D48</f>
        <v>190358.72418707545</v>
      </c>
      <c r="G23" s="354">
        <f>-'Actuarial balances'!C48</f>
        <v>-280897.86673969007</v>
      </c>
      <c r="H23" s="174">
        <f>'Table 7-27-TradFormatIncome'!D23-'Actuarial balances'!H48</f>
        <v>-97887.834299697162</v>
      </c>
      <c r="I23" s="174">
        <f>'Table 7-27-TradFormatIncome'!H23</f>
        <v>-30476.506147209308</v>
      </c>
      <c r="J23" s="88">
        <f>'Table 7-27-TradFormatIncome'!I23</f>
        <v>-48000.497181854647</v>
      </c>
      <c r="K23" s="174">
        <f t="shared" si="1"/>
        <v>291553.13352284615</v>
      </c>
      <c r="L23" s="354">
        <f>'Table 7-27-TradFormatIncome'!G23</f>
        <v>-64000.66290913953</v>
      </c>
      <c r="M23" s="174">
        <f>'Table 7-27-TradFormatIncome'!J23</f>
        <v>-131866.01269078907</v>
      </c>
      <c r="N23" s="175">
        <f t="shared" si="2"/>
        <v>95686.457922917558</v>
      </c>
    </row>
    <row r="24" spans="1:15" x14ac:dyDescent="0.25">
      <c r="A24" s="163">
        <v>6</v>
      </c>
      <c r="B24" s="88">
        <f>'Table 7-27-TradFormatIncome'!C24</f>
        <v>509183.92703082366</v>
      </c>
      <c r="C24" s="174">
        <f>-'Actuarial balances'!E49</f>
        <v>11193.596474904409</v>
      </c>
      <c r="D24" s="174">
        <f>-'Actuarial balances'!F49</f>
        <v>39177.587662165432</v>
      </c>
      <c r="E24" s="174">
        <f>'Actuarial balances'!O49</f>
        <v>39090.613417555433</v>
      </c>
      <c r="F24" s="174">
        <f>-'Actuarial balances'!D49</f>
        <v>172057.35871237083</v>
      </c>
      <c r="G24" s="354">
        <f>-'Actuarial balances'!C49</f>
        <v>-312770.01799449453</v>
      </c>
      <c r="H24" s="174">
        <f>'Table 7-27-TradFormatIncome'!D24-'Actuarial balances'!H49</f>
        <v>-98305.500887935617</v>
      </c>
      <c r="I24" s="174">
        <f>'Table 7-27-TradFormatIncome'!H24</f>
        <v>-27983.991187261025</v>
      </c>
      <c r="J24" s="88">
        <f>'Table 7-27-TradFormatIncome'!I24</f>
        <v>-44074.786119936107</v>
      </c>
      <c r="K24" s="174">
        <f t="shared" si="1"/>
        <v>287568.78710819257</v>
      </c>
      <c r="L24" s="354">
        <f>'Table 7-27-TradFormatIncome'!G24</f>
        <v>-58766.38149324814</v>
      </c>
      <c r="M24" s="174">
        <f>'Table 7-27-TradFormatIncome'!J24</f>
        <v>-121081.37721607542</v>
      </c>
      <c r="N24" s="175">
        <f t="shared" si="2"/>
        <v>107721.02839886902</v>
      </c>
    </row>
    <row r="25" spans="1:15" x14ac:dyDescent="0.25">
      <c r="A25" s="163">
        <v>7</v>
      </c>
      <c r="B25" s="88">
        <f>'Table 7-27-TradFormatIncome'!C25</f>
        <v>569003.98169012798</v>
      </c>
      <c r="C25" s="174">
        <f>-'Actuarial balances'!E50</f>
        <v>10386.934422379014</v>
      </c>
      <c r="D25" s="174">
        <f>-'Actuarial balances'!F50</f>
        <v>36354.270478326544</v>
      </c>
      <c r="E25" s="174">
        <f>'Actuarial balances'!O50</f>
        <v>24865.573147896943</v>
      </c>
      <c r="F25" s="174">
        <f>-'Actuarial balances'!D50</f>
        <v>154038.29464770583</v>
      </c>
      <c r="G25" s="354">
        <f>-'Actuarial balances'!C50</f>
        <v>-342677.39264912863</v>
      </c>
      <c r="H25" s="174">
        <f>'Table 7-27-TradFormatIncome'!D25-'Actuarial balances'!H50</f>
        <v>-99001.426515972387</v>
      </c>
      <c r="I25" s="174">
        <f>'Table 7-27-TradFormatIncome'!H25</f>
        <v>-25967.336055947533</v>
      </c>
      <c r="J25" s="88">
        <f>'Table 7-27-TradFormatIncome'!I25</f>
        <v>-40898.554288117361</v>
      </c>
      <c r="K25" s="174">
        <f t="shared" si="1"/>
        <v>286104.3448772704</v>
      </c>
      <c r="L25" s="354">
        <f>'Table 7-27-TradFormatIncome'!G25</f>
        <v>-54531.405717489812</v>
      </c>
      <c r="M25" s="174">
        <f>'Table 7-27-TradFormatIncome'!J25</f>
        <v>-112355.69619954981</v>
      </c>
      <c r="N25" s="175">
        <f t="shared" si="2"/>
        <v>119217.24296023078</v>
      </c>
    </row>
    <row r="26" spans="1:15" x14ac:dyDescent="0.25">
      <c r="A26" s="163">
        <v>8</v>
      </c>
      <c r="B26" s="88">
        <f>'Table 7-27-TradFormatIncome'!C26</f>
        <v>627378.17442322138</v>
      </c>
      <c r="C26" s="174">
        <f>-'Actuarial balances'!E51</f>
        <v>9739.0161495929697</v>
      </c>
      <c r="D26" s="174">
        <f>-'Actuarial balances'!F51</f>
        <v>34086.556523575389</v>
      </c>
      <c r="E26" s="174">
        <f>'Actuarial balances'!O51</f>
        <v>14567.182100834434</v>
      </c>
      <c r="F26" s="174">
        <f>-'Actuarial balances'!D51</f>
        <v>134081.56903110378</v>
      </c>
      <c r="G26" s="354">
        <f>-'Actuarial balances'!C51</f>
        <v>-372114.16186519357</v>
      </c>
      <c r="H26" s="174">
        <f>'Table 7-27-TradFormatIncome'!D26-'Actuarial balances'!H51</f>
        <v>-98460.065326716664</v>
      </c>
      <c r="I26" s="174">
        <f>'Table 7-27-TradFormatIncome'!H26</f>
        <v>-24347.540373982425</v>
      </c>
      <c r="J26" s="88">
        <f>'Table 7-27-TradFormatIncome'!I26</f>
        <v>-38347.376089022313</v>
      </c>
      <c r="K26" s="174">
        <f t="shared" si="1"/>
        <v>286583.35457341297</v>
      </c>
      <c r="L26" s="354">
        <f>'Table 7-27-TradFormatIncome'!G26</f>
        <v>-51129.834785363084</v>
      </c>
      <c r="M26" s="174">
        <f>'Table 7-27-TradFormatIncome'!J26</f>
        <v>-105347.15011087505</v>
      </c>
      <c r="N26" s="175">
        <f t="shared" si="2"/>
        <v>130106.36967717484</v>
      </c>
    </row>
    <row r="27" spans="1:15" x14ac:dyDescent="0.25">
      <c r="A27" s="163">
        <v>9</v>
      </c>
      <c r="B27" s="88">
        <f>'Table 7-27-TradFormatIncome'!C27</f>
        <v>686754.384481824</v>
      </c>
      <c r="C27" s="174">
        <f>-'Actuarial balances'!E52</f>
        <v>9225.8819971951416</v>
      </c>
      <c r="D27" s="174">
        <f>-'Actuarial balances'!F52</f>
        <v>32290.586990182986</v>
      </c>
      <c r="E27" s="174">
        <f>'Actuarial balances'!O52</f>
        <v>7357.7516033470929</v>
      </c>
      <c r="F27" s="174">
        <f>-'Actuarial balances'!D52</f>
        <v>112931.46904228916</v>
      </c>
      <c r="G27" s="354">
        <f>-'Actuarial balances'!C52</f>
        <v>-402354.2343467584</v>
      </c>
      <c r="H27" s="174">
        <f>'Table 7-27-TradFormatIncome'!D27-'Actuarial balances'!H52</f>
        <v>-96708.537248714449</v>
      </c>
      <c r="I27" s="174">
        <f>'Table 7-27-TradFormatIncome'!H27</f>
        <v>-23064.704992987852</v>
      </c>
      <c r="J27" s="88">
        <f>'Table 7-27-TradFormatIncome'!I27</f>
        <v>-36326.91036395586</v>
      </c>
      <c r="K27" s="174">
        <f t="shared" si="1"/>
        <v>290105.68716242199</v>
      </c>
      <c r="L27" s="354">
        <f>'Table 7-27-TradFormatIncome'!G27</f>
        <v>-48435.88048527448</v>
      </c>
      <c r="M27" s="174">
        <f>'Table 7-27-TradFormatIncome'!J27</f>
        <v>-99796.566792258207</v>
      </c>
      <c r="N27" s="175">
        <f t="shared" si="2"/>
        <v>141873.23988488931</v>
      </c>
    </row>
    <row r="28" spans="1:15" x14ac:dyDescent="0.25">
      <c r="A28" s="163">
        <v>10</v>
      </c>
      <c r="B28" s="88">
        <f>'Table 7-27-TradFormatIncome'!C28</f>
        <v>749316.64781492809</v>
      </c>
      <c r="C28" s="174">
        <f>-'Actuarial balances'!E53</f>
        <v>8829.3019240165104</v>
      </c>
      <c r="D28" s="174">
        <f>-'Actuarial balances'!F53</f>
        <v>30902.556734057776</v>
      </c>
      <c r="E28" s="174">
        <f>'Actuarial balances'!O53</f>
        <v>3519.5363329514621</v>
      </c>
      <c r="F28" s="174">
        <f>-'Actuarial balances'!D53</f>
        <v>93761.245698446437</v>
      </c>
      <c r="G28" s="354">
        <f>-'Actuarial balances'!C53</f>
        <v>-434467.86820504518</v>
      </c>
      <c r="H28" s="174">
        <f>'Table 7-27-TradFormatIncome'!D28-'Actuarial balances'!H53</f>
        <v>-96300.575123708069</v>
      </c>
      <c r="I28" s="174">
        <f>'Table 7-27-TradFormatIncome'!H28</f>
        <v>-22073.254810041279</v>
      </c>
      <c r="J28" s="88">
        <f>'Table 7-27-TradFormatIncome'!I28</f>
        <v>-34765.376325814999</v>
      </c>
      <c r="K28" s="174">
        <f t="shared" si="1"/>
        <v>298722.21403979079</v>
      </c>
      <c r="L28" s="354">
        <f>'Table 7-27-TradFormatIncome'!G28</f>
        <v>-46353.835101086661</v>
      </c>
      <c r="M28" s="174">
        <f>'Table 7-27-TradFormatIncome'!J28</f>
        <v>-95506.751490752911</v>
      </c>
      <c r="N28" s="175">
        <f t="shared" si="2"/>
        <v>156861.62744795124</v>
      </c>
    </row>
    <row r="29" spans="1:15" x14ac:dyDescent="0.25">
      <c r="A29" s="163">
        <v>11</v>
      </c>
      <c r="B29" s="88">
        <f>'Table 7-27-TradFormatIncome'!C29</f>
        <v>808119.62691301247</v>
      </c>
      <c r="C29" s="174">
        <f>-'Actuarial balances'!E54</f>
        <v>8446.8871990835069</v>
      </c>
      <c r="D29" s="174">
        <f>-'Actuarial balances'!F54</f>
        <v>29564.105196792261</v>
      </c>
      <c r="E29" s="174">
        <f>'Actuarial balances'!O54</f>
        <v>0</v>
      </c>
      <c r="F29" s="174">
        <f>-'Actuarial balances'!D54</f>
        <v>85279.202340853662</v>
      </c>
      <c r="G29" s="354">
        <f>-'Actuarial balances'!C54</f>
        <v>-464340.74057485454</v>
      </c>
      <c r="H29" s="174">
        <f>'Table 7-27-TradFormatIncome'!D29-'Actuarial balances'!H54</f>
        <v>-97300.261695610112</v>
      </c>
      <c r="I29" s="174">
        <f>'Table 7-27-TradFormatIncome'!H29</f>
        <v>-21117.217997708769</v>
      </c>
      <c r="J29" s="88">
        <f>'Table 7-27-TradFormatIncome'!I29</f>
        <v>-33259.618346391289</v>
      </c>
      <c r="K29" s="174">
        <f t="shared" si="1"/>
        <v>315391.98303517711</v>
      </c>
      <c r="L29" s="354">
        <f>'Table 7-27-TradFormatIncome'!G29</f>
        <v>-44346.157795188388</v>
      </c>
      <c r="M29" s="174">
        <f>'Table 7-27-TradFormatIncome'!J29</f>
        <v>-91370.163070185401</v>
      </c>
      <c r="N29" s="175">
        <f t="shared" si="2"/>
        <v>179675.66216980334</v>
      </c>
    </row>
    <row r="30" spans="1:15" x14ac:dyDescent="0.25">
      <c r="A30" s="163">
        <v>12</v>
      </c>
      <c r="B30" s="88">
        <f>'Table 7-27-TradFormatIncome'!C30</f>
        <v>862677.9960418297</v>
      </c>
      <c r="C30" s="174">
        <f>-'Actuarial balances'!E55</f>
        <v>8077.3054753296874</v>
      </c>
      <c r="D30" s="174">
        <f>-'Actuarial balances'!F55</f>
        <v>28270.569163653894</v>
      </c>
      <c r="E30" s="174">
        <f>'Actuarial balances'!O55</f>
        <v>0</v>
      </c>
      <c r="F30" s="174">
        <f>-'Actuarial balances'!D55</f>
        <v>88543.656667361021</v>
      </c>
      <c r="G30" s="354">
        <f>-'Actuarial balances'!C55</f>
        <v>-491672.34147970937</v>
      </c>
      <c r="H30" s="174">
        <f>'Table 7-27-TradFormatIncome'!D30-'Actuarial balances'!H55</f>
        <v>-101052.8010699021</v>
      </c>
      <c r="I30" s="174">
        <f>'Table 7-27-TradFormatIncome'!H30</f>
        <v>-20193.263688324219</v>
      </c>
      <c r="J30" s="88">
        <f>'Table 7-27-TradFormatIncome'!I30</f>
        <v>-31804.390309110629</v>
      </c>
      <c r="K30" s="174">
        <f t="shared" si="1"/>
        <v>342846.73080112797</v>
      </c>
      <c r="L30" s="354">
        <f>'Table 7-27-TradFormatIncome'!G30</f>
        <v>-42405.853745480839</v>
      </c>
      <c r="M30" s="174">
        <f>'Table 7-27-TradFormatIncome'!J30</f>
        <v>-87372.389503277736</v>
      </c>
      <c r="N30" s="175">
        <f t="shared" si="2"/>
        <v>213068.48755236942</v>
      </c>
    </row>
    <row r="31" spans="1:15" x14ac:dyDescent="0.25">
      <c r="A31" s="163">
        <v>13</v>
      </c>
      <c r="B31" s="88">
        <f>'Table 7-27-TradFormatIncome'!C31</f>
        <v>912344.44101035711</v>
      </c>
      <c r="C31" s="174">
        <f>-'Actuarial balances'!E56</f>
        <v>7718.6214174700071</v>
      </c>
      <c r="D31" s="174">
        <f>-'Actuarial balances'!F56</f>
        <v>27015.174961145007</v>
      </c>
      <c r="E31" s="174">
        <f>'Actuarial balances'!O56</f>
        <v>0</v>
      </c>
      <c r="F31" s="174">
        <f>-'Actuarial balances'!D56</f>
        <v>90937.095681947569</v>
      </c>
      <c r="G31" s="354">
        <f>-'Actuarial balances'!C56</f>
        <v>-516449.42978234682</v>
      </c>
      <c r="H31" s="174">
        <f>'Table 7-27-TradFormatIncome'!D31-'Actuarial balances'!H56</f>
        <v>-103816.12975302231</v>
      </c>
      <c r="I31" s="174">
        <f>'Table 7-27-TradFormatIncome'!H31</f>
        <v>-19296.553543675018</v>
      </c>
      <c r="J31" s="88">
        <f>'Table 7-27-TradFormatIncome'!I31</f>
        <v>-30392.071831288133</v>
      </c>
      <c r="K31" s="174">
        <f t="shared" si="1"/>
        <v>368061.14816058747</v>
      </c>
      <c r="L31" s="354">
        <f>'Table 7-27-TradFormatIncome'!G31</f>
        <v>-40522.76244171751</v>
      </c>
      <c r="M31" s="174">
        <f>'Table 7-27-TradFormatIncome'!J31</f>
        <v>-83492.496226039395</v>
      </c>
      <c r="N31" s="175">
        <f t="shared" si="2"/>
        <v>244045.88949283058</v>
      </c>
    </row>
    <row r="32" spans="1:15" x14ac:dyDescent="0.25">
      <c r="A32" s="163">
        <v>14</v>
      </c>
      <c r="B32" s="88">
        <f>'Table 7-27-TradFormatIncome'!C32</f>
        <v>957173.34450453916</v>
      </c>
      <c r="C32" s="174">
        <f>-'Actuarial balances'!E57</f>
        <v>7370.0114248742575</v>
      </c>
      <c r="D32" s="174">
        <f>-'Actuarial balances'!F57</f>
        <v>25795.039987059889</v>
      </c>
      <c r="E32" s="174">
        <f>'Actuarial balances'!O57</f>
        <v>0</v>
      </c>
      <c r="F32" s="174">
        <f>-'Actuarial balances'!D57</f>
        <v>90199.654462534847</v>
      </c>
      <c r="G32" s="354">
        <f>-'Actuarial balances'!C57</f>
        <v>-538760.65774761571</v>
      </c>
      <c r="H32" s="174">
        <f>'Table 7-27-TradFormatIncome'!D32-'Actuarial balances'!H57</f>
        <v>-102995.19889893594</v>
      </c>
      <c r="I32" s="174">
        <f>'Table 7-27-TradFormatIncome'!H32</f>
        <v>-18425.028562185646</v>
      </c>
      <c r="J32" s="88">
        <f>'Table 7-27-TradFormatIncome'!I32</f>
        <v>-29019.419985442371</v>
      </c>
      <c r="K32" s="174">
        <f t="shared" si="1"/>
        <v>391337.74518482864</v>
      </c>
      <c r="L32" s="354">
        <f>'Table 7-27-TradFormatIncome'!G32</f>
        <v>-38692.559980589831</v>
      </c>
      <c r="M32" s="174">
        <f>'Table 7-27-TradFormatIncome'!J32</f>
        <v>-79721.574332489574</v>
      </c>
      <c r="N32" s="175">
        <f t="shared" si="2"/>
        <v>272923.61087174923</v>
      </c>
    </row>
    <row r="33" spans="1:14" x14ac:dyDescent="0.25">
      <c r="A33" s="163">
        <v>15</v>
      </c>
      <c r="B33" s="88">
        <f>'Table 7-27-TradFormatIncome'!C33</f>
        <v>997441.53597071825</v>
      </c>
      <c r="C33" s="174">
        <f>-'Actuarial balances'!E58</f>
        <v>7031.6276683171509</v>
      </c>
      <c r="D33" s="174">
        <f>-'Actuarial balances'!F58</f>
        <v>24610.696839110013</v>
      </c>
      <c r="E33" s="174">
        <f>'Actuarial balances'!O58</f>
        <v>0</v>
      </c>
      <c r="F33" s="174">
        <f>-'Actuarial balances'!D58</f>
        <v>86668.830279362985</v>
      </c>
      <c r="G33" s="354">
        <f>-'Actuarial balances'!C58</f>
        <v>-558746.03376052598</v>
      </c>
      <c r="H33" s="174">
        <f>'Table 7-27-TradFormatIncome'!D33-'Actuarial balances'!H58</f>
        <v>-98969.788185576355</v>
      </c>
      <c r="I33" s="174">
        <f>'Table 7-27-TradFormatIncome'!H33</f>
        <v>-17579.069170792878</v>
      </c>
      <c r="J33" s="88">
        <f>'Table 7-27-TradFormatIncome'!I33</f>
        <v>-27687.033943998762</v>
      </c>
      <c r="K33" s="174">
        <f t="shared" si="1"/>
        <v>412770.76569661446</v>
      </c>
      <c r="L33" s="354">
        <f>'Table 7-27-TradFormatIncome'!G33</f>
        <v>-36916.045258665021</v>
      </c>
      <c r="M33" s="174">
        <f>'Table 7-27-TradFormatIncome'!J33</f>
        <v>-76061.269857217369</v>
      </c>
      <c r="N33" s="175">
        <f t="shared" si="2"/>
        <v>299793.45058073202</v>
      </c>
    </row>
    <row r="34" spans="1:14" x14ac:dyDescent="0.25">
      <c r="A34" s="163">
        <v>16</v>
      </c>
      <c r="B34" s="88">
        <f>'Table 7-27-TradFormatIncome'!C34</f>
        <v>1033416.3715277412</v>
      </c>
      <c r="C34" s="174">
        <f>-'Actuarial balances'!E59</f>
        <v>6703.5825490326852</v>
      </c>
      <c r="D34" s="174">
        <f>-'Actuarial balances'!F59</f>
        <v>23462.538921614381</v>
      </c>
      <c r="E34" s="174">
        <f>'Actuarial balances'!O59</f>
        <v>0</v>
      </c>
      <c r="F34" s="174">
        <f>-'Actuarial balances'!D59</f>
        <v>81500.748147062666</v>
      </c>
      <c r="G34" s="354">
        <f>-'Actuarial balances'!C59</f>
        <v>-576517.79048634483</v>
      </c>
      <c r="H34" s="174">
        <f>'Table 7-27-TradFormatIncome'!D34-'Actuarial balances'!H59</f>
        <v>-93062.157631335547</v>
      </c>
      <c r="I34" s="174">
        <f>'Table 7-27-TradFormatIncome'!H34</f>
        <v>-16758.956372581713</v>
      </c>
      <c r="J34" s="88">
        <f>'Table 7-27-TradFormatIncome'!I34</f>
        <v>-26395.356286816179</v>
      </c>
      <c r="K34" s="174">
        <f t="shared" si="1"/>
        <v>432348.98036837258</v>
      </c>
      <c r="L34" s="354">
        <f>'Table 7-27-TradFormatIncome'!G34</f>
        <v>-35193.808382421572</v>
      </c>
      <c r="M34" s="174">
        <f>'Table 7-27-TradFormatIncome'!J34</f>
        <v>-72512.798646822586</v>
      </c>
      <c r="N34" s="175">
        <f t="shared" si="2"/>
        <v>324642.37333912845</v>
      </c>
    </row>
    <row r="35" spans="1:14" x14ac:dyDescent="0.25">
      <c r="A35" s="163">
        <v>17</v>
      </c>
      <c r="B35" s="88">
        <f>'Table 7-27-TradFormatIncome'!C35</f>
        <v>1065227.5791139561</v>
      </c>
      <c r="C35" s="174">
        <f>-'Actuarial balances'!E60</f>
        <v>6385.4358841216326</v>
      </c>
      <c r="D35" s="174">
        <f>-'Actuarial balances'!F60</f>
        <v>22349.025594425701</v>
      </c>
      <c r="E35" s="174">
        <f>'Actuarial balances'!O60</f>
        <v>0</v>
      </c>
      <c r="F35" s="174">
        <f>-'Actuarial balances'!D60</f>
        <v>72818.888802018701</v>
      </c>
      <c r="G35" s="354">
        <f>-'Actuarial balances'!C60</f>
        <v>-592195.72015122778</v>
      </c>
      <c r="H35" s="174">
        <f>'Table 7-27-TradFormatIncome'!D35-'Actuarial balances'!H60</f>
        <v>-83109.036075059907</v>
      </c>
      <c r="I35" s="174">
        <f>'Table 7-27-TradFormatIncome'!H35</f>
        <v>-15963.589710304081</v>
      </c>
      <c r="J35" s="88">
        <f>'Table 7-27-TradFormatIncome'!I35</f>
        <v>-25142.65379372891</v>
      </c>
      <c r="K35" s="174">
        <f t="shared" si="1"/>
        <v>450369.92966420128</v>
      </c>
      <c r="L35" s="354">
        <f>'Table 7-27-TradFormatIncome'!G35</f>
        <v>-33523.538391638547</v>
      </c>
      <c r="M35" s="174">
        <f>'Table 7-27-TradFormatIncome'!J35</f>
        <v>-69071.3992332833</v>
      </c>
      <c r="N35" s="175">
        <f t="shared" si="2"/>
        <v>347774.99203927943</v>
      </c>
    </row>
    <row r="36" spans="1:14" x14ac:dyDescent="0.25">
      <c r="A36" s="163">
        <v>18</v>
      </c>
      <c r="B36" s="88">
        <f>'Table 7-27-TradFormatIncome'!C36</f>
        <v>1093316.1420296654</v>
      </c>
      <c r="C36" s="174">
        <f>-'Actuarial balances'!E61</f>
        <v>6078.035892311309</v>
      </c>
      <c r="D36" s="174">
        <f>-'Actuarial balances'!F61</f>
        <v>21273.125623089571</v>
      </c>
      <c r="E36" s="174">
        <f>'Actuarial balances'!O61</f>
        <v>0</v>
      </c>
      <c r="F36" s="174">
        <f>-'Actuarial balances'!D61</f>
        <v>63204.016387127005</v>
      </c>
      <c r="G36" s="354">
        <f>-'Actuarial balances'!C61</f>
        <v>-605948.61573773075</v>
      </c>
      <c r="H36" s="174">
        <f>'Table 7-27-TradFormatIncome'!D36-'Actuarial balances'!H61</f>
        <v>-72072.542271173239</v>
      </c>
      <c r="I36" s="174">
        <f>'Table 7-27-TradFormatIncome'!H36</f>
        <v>-15195.089730778272</v>
      </c>
      <c r="J36" s="88">
        <f>'Table 7-27-TradFormatIncome'!I36</f>
        <v>-23932.266325975765</v>
      </c>
      <c r="K36" s="174">
        <f t="shared" si="1"/>
        <v>466722.80586653529</v>
      </c>
      <c r="L36" s="354">
        <f>'Table 7-27-TradFormatIncome'!G36</f>
        <v>-31909.68843463435</v>
      </c>
      <c r="M36" s="174">
        <f>'Table 7-27-TradFormatIncome'!J36</f>
        <v>-65746.246817073639</v>
      </c>
      <c r="N36" s="175">
        <f t="shared" si="2"/>
        <v>369066.87061482726</v>
      </c>
    </row>
    <row r="37" spans="1:14" x14ac:dyDescent="0.25">
      <c r="A37" s="163">
        <v>19</v>
      </c>
      <c r="B37" s="88">
        <f>'Table 7-27-TradFormatIncome'!C37</f>
        <v>1117740.0150698612</v>
      </c>
      <c r="C37" s="174">
        <f>-'Actuarial balances'!E62</f>
        <v>5780.6497521723013</v>
      </c>
      <c r="D37" s="174">
        <f>-'Actuarial balances'!F62</f>
        <v>20232.274132603045</v>
      </c>
      <c r="E37" s="174">
        <f>'Actuarial balances'!O62</f>
        <v>0</v>
      </c>
      <c r="F37" s="174">
        <f>-'Actuarial balances'!D62</f>
        <v>52244.62701963367</v>
      </c>
      <c r="G37" s="354">
        <f>-'Actuarial balances'!C62</f>
        <v>-617816.32710071316</v>
      </c>
      <c r="H37" s="174">
        <f>'Table 7-27-TradFormatIncome'!D37-'Actuarial balances'!H62</f>
        <v>-59474.106274152116</v>
      </c>
      <c r="I37" s="174">
        <f>'Table 7-27-TradFormatIncome'!H37</f>
        <v>-14451.624380430752</v>
      </c>
      <c r="J37" s="88">
        <f>'Table 7-27-TradFormatIncome'!I37</f>
        <v>-22761.308399178422</v>
      </c>
      <c r="K37" s="174">
        <f t="shared" si="1"/>
        <v>481494.19981979602</v>
      </c>
      <c r="L37" s="354">
        <f>'Table 7-27-TradFormatIncome'!G37</f>
        <v>-30348.411198904563</v>
      </c>
      <c r="M37" s="174">
        <f>'Table 7-27-TradFormatIncome'!J37</f>
        <v>-62529.414452807861</v>
      </c>
      <c r="N37" s="175">
        <f t="shared" si="2"/>
        <v>388616.3741680836</v>
      </c>
    </row>
    <row r="38" spans="1:14" ht="15.75" thickBot="1" x14ac:dyDescent="0.3">
      <c r="A38" s="95">
        <v>20</v>
      </c>
      <c r="B38" s="332">
        <f>'Table 7-27-TradFormatIncome'!C38</f>
        <v>1138582.1410999128</v>
      </c>
      <c r="C38" s="176">
        <f>-'Actuarial balances'!E63</f>
        <v>5492.7086512368969</v>
      </c>
      <c r="D38" s="176">
        <f>-'Actuarial balances'!F63</f>
        <v>19224.480279329127</v>
      </c>
      <c r="E38" s="176">
        <f>'Actuarial balances'!O63</f>
        <v>0</v>
      </c>
      <c r="F38" s="176">
        <f>-'Actuarial balances'!D63</f>
        <v>39722.038770661653</v>
      </c>
      <c r="G38" s="379">
        <f>-'Actuarial balances'!C63</f>
        <v>-627847.39533840423</v>
      </c>
      <c r="H38" s="176">
        <f>'Table 7-27-TradFormatIncome'!D38-'Actuarial balances'!H63</f>
        <v>-45054.91670517117</v>
      </c>
      <c r="I38" s="176">
        <f>'Table 7-27-TradFormatIncome'!H38</f>
        <v>-13731.771628092241</v>
      </c>
      <c r="J38" s="332">
        <f>'Table 7-27-TradFormatIncome'!I38</f>
        <v>-21627.540314245267</v>
      </c>
      <c r="K38" s="176">
        <f t="shared" si="1"/>
        <v>494759.74481522787</v>
      </c>
      <c r="L38" s="379">
        <f>'Table 7-27-TradFormatIncome'!G38</f>
        <v>-28836.720418993689</v>
      </c>
      <c r="M38" s="176">
        <f>'Table 7-27-TradFormatIncome'!J38</f>
        <v>-59414.749283616155</v>
      </c>
      <c r="N38" s="177">
        <f t="shared" si="2"/>
        <v>406508.27511261805</v>
      </c>
    </row>
  </sheetData>
  <mergeCells count="2">
    <mergeCell ref="A13:N13"/>
    <mergeCell ref="A12:N12"/>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9F405-451D-460E-8A66-97086A68F71F}">
  <dimension ref="A1:R30"/>
  <sheetViews>
    <sheetView showGridLines="0" workbookViewId="0">
      <selection activeCell="N27" sqref="N27"/>
    </sheetView>
  </sheetViews>
  <sheetFormatPr defaultColWidth="8.7109375" defaultRowHeight="15" x14ac:dyDescent="0.25"/>
  <cols>
    <col min="1" max="1" width="6.5703125" style="81" customWidth="1"/>
    <col min="2" max="2" width="10.42578125" style="75" customWidth="1"/>
    <col min="3" max="7" width="9.140625" style="75" customWidth="1"/>
    <col min="8" max="8" width="11.42578125" style="75" customWidth="1"/>
    <col min="9" max="9" width="9.140625" style="75" customWidth="1"/>
    <col min="10" max="10" width="11.5703125" style="75" customWidth="1"/>
    <col min="11" max="11" width="9.140625" style="75" customWidth="1"/>
    <col min="12" max="12" width="8.7109375" style="75"/>
    <col min="13" max="13" width="13.42578125" style="75" customWidth="1"/>
    <col min="14" max="14" width="11.5703125" style="75" bestFit="1" customWidth="1"/>
    <col min="15" max="16" width="13" style="75" customWidth="1"/>
    <col min="17" max="16384" width="8.7109375" style="75"/>
  </cols>
  <sheetData>
    <row r="1" spans="1:17" x14ac:dyDescent="0.25">
      <c r="A1" s="76" t="s">
        <v>368</v>
      </c>
    </row>
    <row r="2" spans="1:17" x14ac:dyDescent="0.25">
      <c r="A2" s="45" t="s">
        <v>369</v>
      </c>
    </row>
    <row r="3" spans="1:17" x14ac:dyDescent="0.25">
      <c r="A3" s="78" t="s">
        <v>370</v>
      </c>
    </row>
    <row r="4" spans="1:17" x14ac:dyDescent="0.25">
      <c r="A4" s="79" t="s">
        <v>379</v>
      </c>
    </row>
    <row r="6" spans="1:17" x14ac:dyDescent="0.25">
      <c r="A6" s="41" t="s">
        <v>328</v>
      </c>
    </row>
    <row r="7" spans="1:17" x14ac:dyDescent="0.25">
      <c r="A7" s="43" t="s">
        <v>132</v>
      </c>
      <c r="B7" s="6"/>
      <c r="C7" s="6"/>
      <c r="D7" s="6"/>
      <c r="E7" s="6"/>
      <c r="F7" s="6"/>
      <c r="G7" s="6"/>
      <c r="H7" s="6"/>
      <c r="I7" s="6"/>
      <c r="J7" s="6"/>
      <c r="K7" s="6"/>
      <c r="L7" s="6"/>
      <c r="M7" s="6"/>
      <c r="N7" s="12"/>
      <c r="O7" s="6"/>
      <c r="P7" s="6"/>
      <c r="Q7" s="6"/>
    </row>
    <row r="8" spans="1:17" x14ac:dyDescent="0.25">
      <c r="A8" s="43" t="s">
        <v>235</v>
      </c>
      <c r="B8" s="6"/>
      <c r="C8" s="6"/>
      <c r="D8" s="6"/>
      <c r="E8" s="6"/>
      <c r="F8" s="6"/>
      <c r="G8" s="6"/>
      <c r="H8" s="6"/>
      <c r="I8" s="6"/>
      <c r="J8" s="6"/>
      <c r="K8" s="6"/>
      <c r="L8" s="6"/>
      <c r="M8" s="6"/>
      <c r="N8" s="6"/>
      <c r="O8" s="6"/>
      <c r="P8" s="6"/>
      <c r="Q8" s="6"/>
    </row>
    <row r="9" spans="1:17" x14ac:dyDescent="0.25">
      <c r="A9" s="44"/>
      <c r="B9" s="6"/>
      <c r="C9" s="6"/>
      <c r="D9" s="6"/>
      <c r="E9" s="6"/>
      <c r="F9" s="6"/>
      <c r="G9" s="6"/>
      <c r="H9" s="6"/>
      <c r="I9" s="6"/>
      <c r="J9" s="6"/>
      <c r="K9" s="6"/>
      <c r="L9" s="6"/>
      <c r="M9" s="6"/>
      <c r="N9" s="6"/>
      <c r="O9" s="6"/>
      <c r="P9" s="6"/>
      <c r="Q9" s="6"/>
    </row>
    <row r="10" spans="1:17" x14ac:dyDescent="0.25">
      <c r="A10" s="44" t="s">
        <v>251</v>
      </c>
      <c r="B10" s="6"/>
      <c r="C10" s="6"/>
      <c r="D10" s="6"/>
      <c r="E10" s="6"/>
      <c r="F10" s="6"/>
      <c r="G10" s="6"/>
      <c r="H10" s="6"/>
      <c r="I10" s="6"/>
      <c r="J10" s="6"/>
      <c r="K10" s="6"/>
      <c r="L10" s="6"/>
      <c r="M10" s="6"/>
      <c r="N10" s="6"/>
      <c r="O10" s="6"/>
      <c r="P10" s="6"/>
      <c r="Q10" s="6"/>
    </row>
    <row r="11" spans="1:17" ht="15.75" thickBot="1" x14ac:dyDescent="0.3">
      <c r="A11" s="44"/>
      <c r="B11" s="6"/>
      <c r="C11" s="6"/>
      <c r="D11" s="6"/>
      <c r="E11" s="6"/>
      <c r="F11" s="6"/>
      <c r="G11" s="6"/>
      <c r="H11" s="6"/>
      <c r="I11" s="6"/>
      <c r="J11" s="6"/>
      <c r="K11" s="6"/>
      <c r="L11" s="8"/>
      <c r="M11" s="6"/>
      <c r="N11" s="6"/>
      <c r="O11" s="6"/>
      <c r="P11" s="6"/>
      <c r="Q11" s="6"/>
    </row>
    <row r="12" spans="1:17" x14ac:dyDescent="0.25">
      <c r="A12" s="466" t="s">
        <v>328</v>
      </c>
      <c r="B12" s="467"/>
      <c r="C12" s="467"/>
      <c r="D12" s="467"/>
      <c r="E12" s="467"/>
      <c r="F12" s="467"/>
      <c r="G12" s="467"/>
      <c r="H12" s="467"/>
      <c r="I12" s="467"/>
      <c r="J12" s="467"/>
      <c r="K12" s="467"/>
      <c r="L12" s="467"/>
      <c r="M12" s="467"/>
      <c r="N12" s="467"/>
      <c r="O12" s="467"/>
      <c r="P12" s="467"/>
      <c r="Q12" s="468"/>
    </row>
    <row r="13" spans="1:17" ht="15.75" thickBot="1" x14ac:dyDescent="0.3">
      <c r="A13" s="462" t="s">
        <v>331</v>
      </c>
      <c r="B13" s="463"/>
      <c r="C13" s="463"/>
      <c r="D13" s="463"/>
      <c r="E13" s="463"/>
      <c r="F13" s="463"/>
      <c r="G13" s="463"/>
      <c r="H13" s="463"/>
      <c r="I13" s="463"/>
      <c r="J13" s="463"/>
      <c r="K13" s="463"/>
      <c r="L13" s="463"/>
      <c r="M13" s="463"/>
      <c r="N13" s="463"/>
      <c r="O13" s="463"/>
      <c r="P13" s="463"/>
      <c r="Q13" s="465"/>
    </row>
    <row r="14" spans="1:17" x14ac:dyDescent="0.25">
      <c r="A14" s="380"/>
      <c r="B14" s="146">
        <f>A14-1</f>
        <v>-1</v>
      </c>
      <c r="C14" s="146">
        <f t="shared" ref="C14:P14" si="0">B14-1</f>
        <v>-2</v>
      </c>
      <c r="D14" s="146">
        <f t="shared" si="0"/>
        <v>-3</v>
      </c>
      <c r="E14" s="146">
        <f t="shared" si="0"/>
        <v>-4</v>
      </c>
      <c r="F14" s="146">
        <f t="shared" si="0"/>
        <v>-5</v>
      </c>
      <c r="G14" s="146">
        <f t="shared" si="0"/>
        <v>-6</v>
      </c>
      <c r="H14" s="146">
        <f t="shared" si="0"/>
        <v>-7</v>
      </c>
      <c r="I14" s="146">
        <f t="shared" si="0"/>
        <v>-8</v>
      </c>
      <c r="J14" s="146">
        <f t="shared" si="0"/>
        <v>-9</v>
      </c>
      <c r="K14" s="146">
        <f t="shared" si="0"/>
        <v>-10</v>
      </c>
      <c r="L14" s="146">
        <f t="shared" si="0"/>
        <v>-11</v>
      </c>
      <c r="M14" s="180">
        <f t="shared" si="0"/>
        <v>-12</v>
      </c>
      <c r="N14" s="146">
        <f t="shared" si="0"/>
        <v>-13</v>
      </c>
      <c r="O14" s="146">
        <f t="shared" si="0"/>
        <v>-14</v>
      </c>
      <c r="P14" s="146">
        <f t="shared" si="0"/>
        <v>-15</v>
      </c>
      <c r="Q14" s="146">
        <f>P14-1</f>
        <v>-16</v>
      </c>
    </row>
    <row r="15" spans="1:17" x14ac:dyDescent="0.25">
      <c r="A15" s="381"/>
      <c r="B15" s="381" t="s">
        <v>243</v>
      </c>
      <c r="C15" s="381"/>
      <c r="D15" s="381"/>
      <c r="E15" s="381"/>
      <c r="F15" s="381"/>
      <c r="G15" s="381"/>
      <c r="H15" s="381"/>
      <c r="I15" s="381"/>
      <c r="J15" s="381"/>
      <c r="K15" s="381"/>
      <c r="L15" s="381" t="s">
        <v>35</v>
      </c>
      <c r="M15" s="382" t="s">
        <v>330</v>
      </c>
      <c r="N15" s="381"/>
      <c r="O15" s="381"/>
      <c r="P15" s="381" t="s">
        <v>239</v>
      </c>
      <c r="Q15" s="381" t="s">
        <v>245</v>
      </c>
    </row>
    <row r="16" spans="1:17" x14ac:dyDescent="0.25">
      <c r="A16" s="381" t="s">
        <v>3</v>
      </c>
      <c r="B16" s="381" t="s">
        <v>237</v>
      </c>
      <c r="C16" s="381" t="s">
        <v>246</v>
      </c>
      <c r="D16" s="381" t="s">
        <v>16</v>
      </c>
      <c r="E16" s="381" t="s">
        <v>17</v>
      </c>
      <c r="F16" s="381" t="s">
        <v>23</v>
      </c>
      <c r="G16" s="381" t="s">
        <v>15</v>
      </c>
      <c r="H16" s="381" t="s">
        <v>14</v>
      </c>
      <c r="I16" s="381" t="s">
        <v>125</v>
      </c>
      <c r="J16" s="381" t="s">
        <v>230</v>
      </c>
      <c r="K16" s="381" t="s">
        <v>17</v>
      </c>
      <c r="L16" s="381" t="s">
        <v>252</v>
      </c>
      <c r="M16" s="382" t="s">
        <v>323</v>
      </c>
      <c r="N16" s="381" t="s">
        <v>33</v>
      </c>
      <c r="O16" s="381" t="s">
        <v>51</v>
      </c>
      <c r="P16" s="381" t="s">
        <v>241</v>
      </c>
      <c r="Q16" s="381" t="s">
        <v>248</v>
      </c>
    </row>
    <row r="17" spans="1:18" ht="15.75" thickBot="1" x14ac:dyDescent="0.3">
      <c r="A17" s="381" t="s">
        <v>7</v>
      </c>
      <c r="B17" s="381" t="s">
        <v>53</v>
      </c>
      <c r="C17" s="381" t="s">
        <v>249</v>
      </c>
      <c r="D17" s="381" t="s">
        <v>180</v>
      </c>
      <c r="E17" s="381" t="s">
        <v>27</v>
      </c>
      <c r="F17" s="381" t="s">
        <v>25</v>
      </c>
      <c r="G17" s="381" t="s">
        <v>25</v>
      </c>
      <c r="H17" s="381" t="s">
        <v>24</v>
      </c>
      <c r="I17" s="381" t="s">
        <v>29</v>
      </c>
      <c r="J17" s="381" t="s">
        <v>41</v>
      </c>
      <c r="K17" s="381" t="s">
        <v>234</v>
      </c>
      <c r="L17" s="381" t="s">
        <v>253</v>
      </c>
      <c r="M17" s="382" t="s">
        <v>41</v>
      </c>
      <c r="N17" s="381" t="s">
        <v>36</v>
      </c>
      <c r="O17" s="381" t="s">
        <v>53</v>
      </c>
      <c r="P17" s="381" t="s">
        <v>329</v>
      </c>
      <c r="Q17" s="381" t="s">
        <v>53</v>
      </c>
    </row>
    <row r="18" spans="1:18" x14ac:dyDescent="0.25">
      <c r="A18" s="71"/>
      <c r="B18" s="362"/>
      <c r="C18" s="362"/>
      <c r="D18" s="362"/>
      <c r="E18" s="362"/>
      <c r="F18" s="362"/>
      <c r="G18" s="362"/>
      <c r="H18" s="362"/>
      <c r="I18" s="362"/>
      <c r="J18" s="362"/>
      <c r="K18" s="362"/>
      <c r="L18" s="362"/>
      <c r="M18" s="362"/>
      <c r="N18" s="362"/>
      <c r="O18" s="362"/>
      <c r="P18" s="362"/>
      <c r="Q18" s="363"/>
    </row>
    <row r="19" spans="1:18" x14ac:dyDescent="0.25">
      <c r="A19" s="360">
        <v>1</v>
      </c>
      <c r="B19" s="364">
        <f>'Table 7-32 IUL - Assets Rollfwd'!G12</f>
        <v>51997.576803343385</v>
      </c>
      <c r="C19" s="364">
        <f>'Table 7-32 IUL - Assets Rollfwd'!H12</f>
        <v>4064.9231966566149</v>
      </c>
      <c r="D19" s="364">
        <f>-'Tables7-13-23 - IULHostVEDCalcs'!BS49</f>
        <v>20000</v>
      </c>
      <c r="E19" s="364">
        <f>-'Tables7-13-23 - IULHostVEDCalcs'!BT49</f>
        <v>70000</v>
      </c>
      <c r="F19" s="364">
        <f>'Tables7-13-23 - IULHostVEDCalcs'!CC18</f>
        <v>299760</v>
      </c>
      <c r="G19" s="364">
        <f>-'Tables7-13-23 - IULHostVEDCalcs'!BR49</f>
        <v>150641.56097560978</v>
      </c>
      <c r="H19" s="364">
        <f>-'Tables7-13-23 - IULHostVEDCalcs'!BQ49</f>
        <v>-89631.556486278423</v>
      </c>
      <c r="I19" s="364">
        <f>-'Table 12-IUL Census'!E12*1000-'Tables7-13-23 - IULHostVEDCalcs'!BV49</f>
        <v>-77320.808003591461</v>
      </c>
      <c r="J19" s="364">
        <f>-'Actuarial balances'!D14*'Tables 26a,b-MasterInputs'!C56</f>
        <v>-50000</v>
      </c>
      <c r="K19" s="364">
        <f>-'Table 7-28-IULTradFormatIncome'!B19*'Tables 26a,b-MasterInputs'!D56</f>
        <v>-78750</v>
      </c>
      <c r="L19" s="10">
        <f>SUM(B19:K19)</f>
        <v>300761.6964857399</v>
      </c>
      <c r="M19" s="364">
        <f>-('Tables 26a,b-MasterInputs'!I31-'Tables 26a,b-MasterInputs'!J31)*'Actuarial balances'!D14+'Table 7-28-IULTradFormatIncome'!B19*('Tables 26a,b-MasterInputs'!H31-'Tables 26a,b-MasterInputs'!G31)</f>
        <v>-130000.00000000009</v>
      </c>
      <c r="N19" s="364">
        <f>'Actuarial balances'!C99</f>
        <v>-216340.43622625663</v>
      </c>
      <c r="O19" s="364">
        <f>SUM(L19:N19)</f>
        <v>-45578.739740516816</v>
      </c>
      <c r="P19" s="364">
        <f>'Table 7-28-IULTradFormatIncome'!M19-'Table 7-28-IULTradFormatIncome'!G19</f>
        <v>-433.96467358991504</v>
      </c>
      <c r="Q19" s="366">
        <f>O19+P19</f>
        <v>-46012.704414106731</v>
      </c>
      <c r="R19" s="88"/>
    </row>
    <row r="20" spans="1:18" x14ac:dyDescent="0.25">
      <c r="A20" s="360">
        <v>2</v>
      </c>
      <c r="B20" s="364">
        <f>'Table 7-32 IUL - Assets Rollfwd'!G13</f>
        <v>178796.58504391889</v>
      </c>
      <c r="C20" s="364">
        <f>'Table 7-32 IUL - Assets Rollfwd'!H13</f>
        <v>6943.21841675001</v>
      </c>
      <c r="D20" s="364">
        <f>-'Tables7-13-23 - IULHostVEDCalcs'!BS50</f>
        <v>16986.400000000001</v>
      </c>
      <c r="E20" s="364">
        <f>-'Tables7-13-23 - IULHostVEDCalcs'!BT50</f>
        <v>59452.4</v>
      </c>
      <c r="F20" s="364">
        <f>'Tables7-13-23 - IULHostVEDCalcs'!CC19</f>
        <v>183251.32156800001</v>
      </c>
      <c r="G20" s="364">
        <f>-'Tables7-13-23 - IULHostVEDCalcs'!BR50</f>
        <v>169663.87332816006</v>
      </c>
      <c r="H20" s="364">
        <f>-'Tables7-13-23 - IULHostVEDCalcs'!BQ50</f>
        <v>-153197.87315592769</v>
      </c>
      <c r="I20" s="364">
        <f>-'Table 12-IUL Census'!E13*1000-'Tables7-13-23 - IULHostVEDCalcs'!BV50</f>
        <v>-87128.712678903627</v>
      </c>
      <c r="J20" s="364">
        <f>-'Actuarial balances'!D15*'Tables 26a,b-MasterInputs'!C57</f>
        <v>-42466</v>
      </c>
      <c r="K20" s="364">
        <f>-'Table 7-28-IULTradFormatIncome'!B20*'Tables 26a,b-MasterInputs'!D57</f>
        <v>-66883.95</v>
      </c>
      <c r="L20" s="10">
        <f>SUM(B20:K20)</f>
        <v>265417.26252199762</v>
      </c>
      <c r="M20" s="364">
        <f>-('Tables 26a,b-MasterInputs'!I32-'Tables 26a,b-MasterInputs'!J32)*'Actuarial balances'!D15+'Table 7-28-IULTradFormatIncome'!B20*('Tables 26a,b-MasterInputs'!H32-'Tables 26a,b-MasterInputs'!G32)</f>
        <v>-89178.599999999991</v>
      </c>
      <c r="N20" s="364">
        <f>'Actuarial balances'!C100</f>
        <v>-183742.25929568429</v>
      </c>
      <c r="O20" s="364">
        <f>SUM(L20:N20)</f>
        <v>-7503.5967736866442</v>
      </c>
      <c r="P20" s="364">
        <f>'Table 7-28-IULTradFormatIncome'!M20-'Table 7-28-IULTradFormatIncome'!G20</f>
        <v>22027.709813224152</v>
      </c>
      <c r="Q20" s="366">
        <f>O20+P20</f>
        <v>14524.113039537508</v>
      </c>
      <c r="R20" s="88"/>
    </row>
    <row r="21" spans="1:18" ht="15.75" thickBot="1" x14ac:dyDescent="0.3">
      <c r="A21" s="73">
        <v>3</v>
      </c>
      <c r="B21" s="367">
        <f>'Table 7-32 IUL - Assets Rollfwd'!G14</f>
        <v>278306.9373801162</v>
      </c>
      <c r="C21" s="367">
        <f>'Table 7-32 IUL - Assets Rollfwd'!H14</f>
        <v>9205.4025715276475</v>
      </c>
      <c r="D21" s="367">
        <f>-'Tables7-13-23 - IULHostVEDCalcs'!BS51</f>
        <v>14931.5891648</v>
      </c>
      <c r="E21" s="367">
        <f>-'Tables7-13-23 - IULHostVEDCalcs'!BT51</f>
        <v>52260.562076800001</v>
      </c>
      <c r="F21" s="367">
        <f>'Tables7-13-23 - IULHostVEDCalcs'!CC20</f>
        <v>119281.89593835469</v>
      </c>
      <c r="G21" s="367">
        <f>-'Tables7-13-23 - IULHostVEDCalcs'!BR51</f>
        <v>186642.27128822886</v>
      </c>
      <c r="H21" s="367">
        <f>-'Tables7-13-23 - IULHostVEDCalcs'!BQ51</f>
        <v>-203246.35691544067</v>
      </c>
      <c r="I21" s="367">
        <f>-'Table 12-IUL Census'!E14*1000-'Tables7-13-23 - IULHostVEDCalcs'!BV51</f>
        <v>-95901.315277967995</v>
      </c>
      <c r="J21" s="367">
        <f>-'Actuarial balances'!D16*'Tables 26a,b-MasterInputs'!C58</f>
        <v>-37328.972911999997</v>
      </c>
      <c r="K21" s="367">
        <f>-'Table 7-28-IULTradFormatIncome'!B21*'Tables 26a,b-MasterInputs'!D58</f>
        <v>-58793.132336399998</v>
      </c>
      <c r="L21" s="383">
        <f>SUM(B21:K21)</f>
        <v>265358.88097801886</v>
      </c>
      <c r="M21" s="367">
        <f>-('Tables 26a,b-MasterInputs'!I33-'Tables 26a,b-MasterInputs'!J33)*'Actuarial balances'!D16+'Table 7-28-IULTradFormatIncome'!B21*('Tables 26a,b-MasterInputs'!H33-'Tables 26a,b-MasterInputs'!G33)</f>
        <v>-78390.843115199998</v>
      </c>
      <c r="N21" s="367">
        <f>'Actuarial balances'!C101</f>
        <v>-161515.32567320392</v>
      </c>
      <c r="O21" s="367">
        <f>SUM(L21:N21)</f>
        <v>25452.712189614947</v>
      </c>
      <c r="P21" s="367">
        <f>'Table 7-28-IULTradFormatIncome'!M21-'Table 7-28-IULTradFormatIncome'!G21</f>
        <v>23821.981200214475</v>
      </c>
      <c r="Q21" s="369">
        <f>O21+P21</f>
        <v>49274.693389829423</v>
      </c>
      <c r="R21" s="88"/>
    </row>
    <row r="22" spans="1:18" x14ac:dyDescent="0.25">
      <c r="A22" s="40"/>
      <c r="B22" s="6"/>
      <c r="C22" s="6"/>
      <c r="D22" s="6"/>
      <c r="E22" s="6"/>
      <c r="F22" s="6"/>
      <c r="G22" s="6"/>
      <c r="H22" s="6"/>
      <c r="I22" s="6"/>
      <c r="J22" s="6"/>
      <c r="K22" s="6"/>
      <c r="L22" s="6"/>
      <c r="M22" s="6"/>
      <c r="N22" s="6"/>
      <c r="O22" s="6"/>
      <c r="P22" s="6"/>
      <c r="Q22" s="6"/>
    </row>
    <row r="23" spans="1:18" x14ac:dyDescent="0.25">
      <c r="A23" s="40"/>
      <c r="B23" s="6"/>
      <c r="C23" s="6"/>
      <c r="D23" s="6"/>
      <c r="E23" s="6"/>
      <c r="F23" s="6"/>
      <c r="G23" s="6"/>
      <c r="H23" s="6"/>
      <c r="I23" s="6"/>
      <c r="J23" s="6"/>
      <c r="K23" s="6"/>
      <c r="L23" s="6"/>
      <c r="M23" s="6"/>
      <c r="N23" s="6"/>
      <c r="O23" s="6"/>
      <c r="P23" s="6"/>
      <c r="Q23" s="6"/>
    </row>
    <row r="24" spans="1:18" x14ac:dyDescent="0.25">
      <c r="A24" s="40"/>
      <c r="B24" s="6"/>
      <c r="C24" s="6"/>
      <c r="D24" s="6"/>
      <c r="E24" s="6"/>
      <c r="F24" s="6"/>
      <c r="G24" s="6"/>
      <c r="H24" s="6"/>
      <c r="I24" s="6"/>
      <c r="J24" s="6"/>
      <c r="K24" s="6"/>
      <c r="L24" s="6"/>
      <c r="M24" s="6"/>
      <c r="N24" s="6"/>
      <c r="O24" s="6"/>
      <c r="P24" s="6"/>
      <c r="Q24" s="6"/>
    </row>
    <row r="25" spans="1:18" x14ac:dyDescent="0.25">
      <c r="A25" s="40"/>
      <c r="B25" s="6"/>
      <c r="C25" s="6"/>
      <c r="D25" s="6"/>
      <c r="E25" s="6"/>
      <c r="F25" s="6"/>
      <c r="G25" s="6"/>
      <c r="H25" s="6"/>
      <c r="I25" s="6"/>
      <c r="J25" s="6"/>
      <c r="K25" s="6"/>
      <c r="L25" s="6"/>
      <c r="M25" s="6"/>
      <c r="N25" s="6"/>
      <c r="O25" s="6"/>
      <c r="P25" s="6"/>
      <c r="Q25" s="6"/>
    </row>
    <row r="26" spans="1:18" x14ac:dyDescent="0.25">
      <c r="A26" s="40"/>
      <c r="B26" s="6"/>
      <c r="C26" s="6"/>
      <c r="D26" s="6"/>
      <c r="E26" s="6"/>
      <c r="F26" s="6"/>
      <c r="G26" s="6"/>
      <c r="H26" s="6"/>
      <c r="I26" s="6"/>
      <c r="J26" s="6"/>
      <c r="K26" s="6"/>
      <c r="L26" s="6"/>
      <c r="M26" s="6"/>
      <c r="N26" s="6"/>
      <c r="O26" s="6"/>
      <c r="P26" s="6"/>
      <c r="Q26" s="6"/>
    </row>
    <row r="27" spans="1:18" x14ac:dyDescent="0.25">
      <c r="A27" s="40"/>
      <c r="B27" s="6"/>
      <c r="C27" s="6"/>
      <c r="D27" s="6"/>
      <c r="E27" s="6"/>
      <c r="F27" s="6"/>
      <c r="G27" s="6"/>
      <c r="H27" s="6"/>
      <c r="I27" s="6"/>
      <c r="J27" s="6"/>
      <c r="K27" s="6"/>
      <c r="L27" s="6"/>
      <c r="M27" s="6"/>
      <c r="N27" s="6"/>
      <c r="O27" s="6"/>
      <c r="P27" s="6"/>
      <c r="Q27" s="6"/>
    </row>
    <row r="28" spans="1:18" x14ac:dyDescent="0.25">
      <c r="A28" s="40"/>
      <c r="B28" s="6"/>
      <c r="C28" s="6"/>
      <c r="D28" s="6"/>
      <c r="E28" s="6"/>
      <c r="F28" s="6"/>
      <c r="G28" s="6"/>
      <c r="H28" s="6"/>
      <c r="I28" s="6"/>
      <c r="J28" s="6"/>
      <c r="K28" s="6"/>
      <c r="L28" s="6"/>
      <c r="M28" s="6"/>
      <c r="N28" s="6"/>
      <c r="O28" s="6"/>
      <c r="P28" s="6"/>
      <c r="Q28" s="6"/>
    </row>
    <row r="29" spans="1:18" x14ac:dyDescent="0.25">
      <c r="A29" s="40"/>
      <c r="B29" s="6"/>
      <c r="C29" s="6"/>
      <c r="D29" s="6"/>
      <c r="E29" s="6"/>
      <c r="F29" s="6"/>
      <c r="G29" s="6"/>
      <c r="H29" s="6"/>
      <c r="I29" s="6"/>
      <c r="J29" s="6"/>
      <c r="K29" s="6"/>
      <c r="L29" s="6"/>
      <c r="M29" s="6"/>
      <c r="N29" s="6"/>
      <c r="O29" s="6"/>
      <c r="P29" s="6"/>
      <c r="Q29" s="6"/>
    </row>
    <row r="30" spans="1:18" x14ac:dyDescent="0.25">
      <c r="A30" s="40"/>
      <c r="B30" s="6"/>
      <c r="C30" s="6"/>
      <c r="D30" s="6"/>
      <c r="E30" s="6"/>
      <c r="F30" s="6"/>
      <c r="G30" s="6"/>
      <c r="H30" s="6"/>
      <c r="I30" s="6"/>
      <c r="J30" s="6"/>
      <c r="K30" s="6"/>
      <c r="L30" s="6"/>
      <c r="M30" s="6"/>
      <c r="N30" s="6"/>
      <c r="O30" s="6"/>
      <c r="P30" s="6"/>
      <c r="Q30" s="6"/>
    </row>
  </sheetData>
  <mergeCells count="2">
    <mergeCell ref="A12:Q12"/>
    <mergeCell ref="A13:Q1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dimension ref="A1:N31"/>
  <sheetViews>
    <sheetView showGridLines="0" workbookViewId="0">
      <selection activeCell="L26" sqref="L26"/>
    </sheetView>
  </sheetViews>
  <sheetFormatPr defaultColWidth="8.5703125" defaultRowHeight="15" x14ac:dyDescent="0.25"/>
  <cols>
    <col min="1" max="1" width="5.42578125" style="81" customWidth="1"/>
    <col min="2" max="2" width="10" style="75" bestFit="1" customWidth="1"/>
    <col min="3" max="3" width="10.5703125" style="75" bestFit="1" customWidth="1"/>
    <col min="4" max="4" width="9.140625" style="343" bestFit="1" customWidth="1"/>
    <col min="5" max="6" width="8.140625" style="75" bestFit="1" customWidth="1"/>
    <col min="7" max="7" width="10" style="75" bestFit="1" customWidth="1"/>
    <col min="8" max="8" width="9.140625" style="75" bestFit="1" customWidth="1"/>
    <col min="9" max="9" width="11.5703125" style="75" bestFit="1" customWidth="1"/>
    <col min="10" max="10" width="9.140625" style="75" bestFit="1" customWidth="1"/>
    <col min="11" max="11" width="11" style="75" bestFit="1" customWidth="1"/>
    <col min="12" max="12" width="12.5703125" style="75" bestFit="1" customWidth="1"/>
    <col min="13" max="13" width="8.5703125" style="75"/>
    <col min="14" max="14" width="10.140625" style="75" bestFit="1" customWidth="1"/>
    <col min="15" max="16384" width="8.5703125" style="75"/>
  </cols>
  <sheetData>
    <row r="1" spans="1:14" x14ac:dyDescent="0.25">
      <c r="A1" s="76" t="s">
        <v>368</v>
      </c>
    </row>
    <row r="2" spans="1:14" x14ac:dyDescent="0.25">
      <c r="A2" s="45" t="s">
        <v>369</v>
      </c>
    </row>
    <row r="3" spans="1:14" x14ac:dyDescent="0.25">
      <c r="A3" s="78" t="s">
        <v>370</v>
      </c>
    </row>
    <row r="4" spans="1:14" x14ac:dyDescent="0.25">
      <c r="A4" s="79" t="s">
        <v>379</v>
      </c>
    </row>
    <row r="5" spans="1:14" ht="15.75" thickBot="1" x14ac:dyDescent="0.3"/>
    <row r="6" spans="1:14" x14ac:dyDescent="0.25">
      <c r="A6" s="417" t="s">
        <v>332</v>
      </c>
      <c r="B6" s="418"/>
      <c r="C6" s="418"/>
      <c r="D6" s="418"/>
      <c r="E6" s="418"/>
      <c r="F6" s="418"/>
      <c r="G6" s="418"/>
      <c r="H6" s="418"/>
      <c r="I6" s="418"/>
      <c r="J6" s="418"/>
      <c r="K6" s="419"/>
    </row>
    <row r="7" spans="1:14" ht="15.75" thickBot="1" x14ac:dyDescent="0.3">
      <c r="A7" s="414" t="s">
        <v>333</v>
      </c>
      <c r="B7" s="415"/>
      <c r="C7" s="415"/>
      <c r="D7" s="415"/>
      <c r="E7" s="415"/>
      <c r="F7" s="415"/>
      <c r="G7" s="415"/>
      <c r="H7" s="415"/>
      <c r="I7" s="415"/>
      <c r="J7" s="415"/>
      <c r="K7" s="416"/>
    </row>
    <row r="8" spans="1:14" x14ac:dyDescent="0.25">
      <c r="A8" s="289"/>
      <c r="B8" s="289"/>
      <c r="C8" s="289" t="s">
        <v>334</v>
      </c>
      <c r="D8" s="384" t="s">
        <v>319</v>
      </c>
      <c r="E8" s="289" t="s">
        <v>317</v>
      </c>
      <c r="F8" s="289"/>
      <c r="G8" s="289" t="s">
        <v>326</v>
      </c>
      <c r="H8" s="289"/>
      <c r="I8" s="289"/>
      <c r="J8" s="289"/>
      <c r="K8" s="289" t="s">
        <v>254</v>
      </c>
    </row>
    <row r="9" spans="1:14" x14ac:dyDescent="0.25">
      <c r="A9" s="291" t="s">
        <v>3</v>
      </c>
      <c r="B9" s="291"/>
      <c r="C9" s="385" t="s">
        <v>335</v>
      </c>
      <c r="D9" s="349" t="s">
        <v>323</v>
      </c>
      <c r="E9" s="291" t="s">
        <v>318</v>
      </c>
      <c r="F9" s="291" t="s">
        <v>17</v>
      </c>
      <c r="G9" s="291" t="s">
        <v>327</v>
      </c>
      <c r="H9" s="291" t="s">
        <v>238</v>
      </c>
      <c r="I9" s="291" t="s">
        <v>23</v>
      </c>
      <c r="J9" s="291" t="s">
        <v>52</v>
      </c>
      <c r="K9" s="291" t="s">
        <v>256</v>
      </c>
    </row>
    <row r="10" spans="1:14" ht="15.75" thickBot="1" x14ac:dyDescent="0.3">
      <c r="A10" s="145" t="s">
        <v>7</v>
      </c>
      <c r="B10" s="145" t="s">
        <v>17</v>
      </c>
      <c r="C10" s="145" t="s">
        <v>41</v>
      </c>
      <c r="D10" s="350" t="s">
        <v>41</v>
      </c>
      <c r="E10" s="145" t="s">
        <v>41</v>
      </c>
      <c r="F10" s="145" t="s">
        <v>234</v>
      </c>
      <c r="G10" s="145" t="s">
        <v>53</v>
      </c>
      <c r="H10" s="145" t="s">
        <v>240</v>
      </c>
      <c r="I10" s="145" t="s">
        <v>240</v>
      </c>
      <c r="J10" s="145" t="s">
        <v>257</v>
      </c>
      <c r="K10" s="145" t="s">
        <v>299</v>
      </c>
    </row>
    <row r="11" spans="1:14" x14ac:dyDescent="0.25">
      <c r="A11" s="93"/>
      <c r="B11" s="101"/>
      <c r="C11" s="101"/>
      <c r="D11" s="386">
        <v>0</v>
      </c>
      <c r="E11" s="101"/>
      <c r="F11" s="101"/>
      <c r="G11" s="101"/>
      <c r="H11" s="101"/>
      <c r="I11" s="101"/>
      <c r="J11" s="149"/>
      <c r="K11" s="306">
        <v>0</v>
      </c>
    </row>
    <row r="12" spans="1:14" x14ac:dyDescent="0.25">
      <c r="A12" s="163">
        <v>1</v>
      </c>
      <c r="B12" s="85">
        <f>'Table 7-27-TradFormatIncome'!B19</f>
        <v>3500000</v>
      </c>
      <c r="C12" s="85">
        <f>-'Actuarial balances'!D71</f>
        <v>-2120000</v>
      </c>
      <c r="D12" s="387">
        <f>'Table 7-27-TradFormatIncome'!G19</f>
        <v>-130000.00000000009</v>
      </c>
      <c r="E12" s="85">
        <f>'Table 7-27-TradFormatIncome'!H19</f>
        <v>-50000</v>
      </c>
      <c r="F12" s="85">
        <f>'Table 7-27-TradFormatIncome'!I19</f>
        <v>-78750</v>
      </c>
      <c r="G12" s="85">
        <f>'Tables 26a,b-MasterInputs'!D31*('Table7- 31UL Asset Rollforward'!K11+'Table7- 31UL Asset Rollforward'!B12+'Table7- 31UL Asset Rollforward'!C12+'Table7- 31UL Asset Rollforward'!D12+'Table7- 31UL Asset Rollforward'!E12+'Table7- 31UL Asset Rollforward'!F12)</f>
        <v>56062.5</v>
      </c>
      <c r="H12" s="85">
        <f>'Table 7-27-TradFormatIncome'!D19</f>
        <v>-80000</v>
      </c>
      <c r="I12" s="85">
        <f>'Table 7-27-TradFormatIncome'!E19</f>
        <v>-202186.74051910237</v>
      </c>
      <c r="J12" s="85">
        <f>-'Table 7-27-TradFormatIncome'!K19</f>
        <v>45579.539686939301</v>
      </c>
      <c r="K12" s="299">
        <f t="shared" ref="K12:K31" si="0">K11+SUM(B12:J12)</f>
        <v>940705.2991678369</v>
      </c>
      <c r="L12" s="90"/>
      <c r="M12" s="85"/>
      <c r="N12" s="90"/>
    </row>
    <row r="13" spans="1:14" x14ac:dyDescent="0.25">
      <c r="A13" s="163">
        <f>A12+1</f>
        <v>2</v>
      </c>
      <c r="B13" s="85">
        <f>'Table 7-27-TradFormatIncome'!B20</f>
        <v>2972620</v>
      </c>
      <c r="C13" s="85">
        <f>-'Actuarial balances'!D72</f>
        <v>0</v>
      </c>
      <c r="D13" s="387">
        <f>'Table 7-27-TradFormatIncome'!G20</f>
        <v>-89178.599999999991</v>
      </c>
      <c r="E13" s="85">
        <f>'Table 7-27-TradFormatIncome'!H20</f>
        <v>-42466</v>
      </c>
      <c r="F13" s="85">
        <f>'Table 7-27-TradFormatIncome'!I20</f>
        <v>-66883.95</v>
      </c>
      <c r="G13" s="85">
        <f>'Tables 26a,b-MasterInputs'!D32*('Table7- 31UL Asset Rollforward'!K12+'Table7- 31UL Asset Rollforward'!B13+'Table7- 31UL Asset Rollforward'!C13+'Table7- 31UL Asset Rollforward'!D13+'Table7- 31UL Asset Rollforward'!E13+'Table7- 31UL Asset Rollforward'!F13)</f>
        <v>185739.83745839185</v>
      </c>
      <c r="H13" s="85">
        <f>'Table 7-27-TradFormatIncome'!D20</f>
        <v>-93425.2</v>
      </c>
      <c r="I13" s="85">
        <f>'Table 7-27-TradFormatIncome'!E20</f>
        <v>-502882.873844199</v>
      </c>
      <c r="J13" s="85">
        <f>-'Table 7-27-TradFormatIncome'!K20</f>
        <v>7504.9490960377152</v>
      </c>
      <c r="K13" s="299">
        <f t="shared" si="0"/>
        <v>3311733.4618780669</v>
      </c>
    </row>
    <row r="14" spans="1:14" x14ac:dyDescent="0.25">
      <c r="A14" s="163">
        <f t="shared" ref="A14:A30" si="1">A13+1</f>
        <v>3</v>
      </c>
      <c r="B14" s="85">
        <f>'Table 7-27-TradFormatIncome'!B21</f>
        <v>2613028.10384</v>
      </c>
      <c r="C14" s="85">
        <f>-'Actuarial balances'!D73</f>
        <v>0</v>
      </c>
      <c r="D14" s="387">
        <f>'Table 7-27-TradFormatIncome'!G21</f>
        <v>-78390.843115199998</v>
      </c>
      <c r="E14" s="85">
        <f>'Table 7-27-TradFormatIncome'!H21</f>
        <v>-37328.972911999997</v>
      </c>
      <c r="F14" s="85">
        <f>'Table 7-27-TradFormatIncome'!I21</f>
        <v>-58793.132336399998</v>
      </c>
      <c r="G14" s="85">
        <f>'Tables 26a,b-MasterInputs'!D33*('Table7- 31UL Asset Rollforward'!K13+'Table7- 31UL Asset Rollforward'!B14+'Table7- 31UL Asset Rollforward'!C14+'Table7- 31UL Asset Rollforward'!D14+'Table7- 31UL Asset Rollforward'!E14+'Table7- 31UL Asset Rollforward'!F14)</f>
        <v>287512.43086772336</v>
      </c>
      <c r="H14" s="85">
        <f>'Table 7-27-TradFormatIncome'!D21</f>
        <v>-106760.86252832001</v>
      </c>
      <c r="I14" s="85">
        <f>'Table 7-27-TradFormatIncome'!E21</f>
        <v>-639041.41634112771</v>
      </c>
      <c r="J14" s="85">
        <f>-'Table 7-27-TradFormatIncome'!K21</f>
        <v>-25450.937642257486</v>
      </c>
      <c r="K14" s="299">
        <f t="shared" si="0"/>
        <v>5266507.8317104848</v>
      </c>
    </row>
    <row r="15" spans="1:14" x14ac:dyDescent="0.25">
      <c r="A15" s="163">
        <f t="shared" si="1"/>
        <v>4</v>
      </c>
      <c r="B15" s="85">
        <f>'Table 7-27-TradFormatIncome'!B22</f>
        <v>2348362.3262863578</v>
      </c>
      <c r="C15" s="85">
        <f>-'Actuarial balances'!D74</f>
        <v>0</v>
      </c>
      <c r="D15" s="387">
        <f>'Table 7-27-TradFormatIncome'!G22</f>
        <v>-70450.869788590731</v>
      </c>
      <c r="E15" s="85">
        <f>'Table 7-27-TradFormatIncome'!H22</f>
        <v>-33548.033232662252</v>
      </c>
      <c r="F15" s="85">
        <f>'Table 7-27-TradFormatIncome'!I22</f>
        <v>-52838.152341443048</v>
      </c>
      <c r="G15" s="85">
        <f>'Tables 26a,b-MasterInputs'!D34*('Table7- 31UL Asset Rollforward'!K14+'Table7- 31UL Asset Rollforward'!B15+'Table7- 31UL Asset Rollforward'!C15+'Table7- 31UL Asset Rollforward'!D15+'Table7- 31UL Asset Rollforward'!E15+'Table7- 31UL Asset Rollforward'!F15)</f>
        <v>372901.65513170738</v>
      </c>
      <c r="H15" s="85">
        <f>'Table 7-27-TradFormatIncome'!D22</f>
        <v>-114734.27365570489</v>
      </c>
      <c r="I15" s="85">
        <f>'Table 7-27-TradFormatIncome'!E22</f>
        <v>-739086.59811449819</v>
      </c>
      <c r="J15" s="85">
        <f>-'Table 7-27-TradFormatIncome'!K22</f>
        <v>-64031.05552808888</v>
      </c>
      <c r="K15" s="299">
        <f t="shared" si="0"/>
        <v>6913082.8304675622</v>
      </c>
    </row>
    <row r="16" spans="1:14" x14ac:dyDescent="0.25">
      <c r="A16" s="163">
        <f t="shared" si="1"/>
        <v>5</v>
      </c>
      <c r="B16" s="85">
        <f>'Table 7-27-TradFormatIncome'!B23</f>
        <v>2133355.4303046511</v>
      </c>
      <c r="C16" s="85">
        <f>-'Actuarial balances'!D75</f>
        <v>0</v>
      </c>
      <c r="D16" s="387">
        <f>'Table 7-27-TradFormatIncome'!G23</f>
        <v>-64000.66290913953</v>
      </c>
      <c r="E16" s="85">
        <f>'Table 7-27-TradFormatIncome'!H23</f>
        <v>-30476.506147209308</v>
      </c>
      <c r="F16" s="85">
        <f>'Table 7-27-TradFormatIncome'!I23</f>
        <v>-48000.497181854647</v>
      </c>
      <c r="G16" s="85">
        <f>'Tables 26a,b-MasterInputs'!D35*('Table7- 31UL Asset Rollforward'!K15+'Table7- 31UL Asset Rollforward'!B16+'Table7- 31UL Asset Rollforward'!C16+'Table7- 31UL Asset Rollforward'!D16+'Table7- 31UL Asset Rollforward'!E16+'Table7- 31UL Asset Rollforward'!F16)</f>
        <v>445198.02972670051</v>
      </c>
      <c r="H16" s="85">
        <f>'Table 7-27-TradFormatIncome'!D23</f>
        <v>-118248.84385117212</v>
      </c>
      <c r="I16" s="85">
        <f>'Table 7-27-TradFormatIncome'!E23</f>
        <v>-779599.00617797452</v>
      </c>
      <c r="J16" s="85">
        <f>-'Table 7-27-TradFormatIncome'!K23</f>
        <v>-95686.457922917471</v>
      </c>
      <c r="K16" s="299">
        <f t="shared" si="0"/>
        <v>8355624.3163086465</v>
      </c>
    </row>
    <row r="17" spans="1:11" x14ac:dyDescent="0.25">
      <c r="A17" s="163">
        <f t="shared" si="1"/>
        <v>6</v>
      </c>
      <c r="B17" s="85">
        <f>'Table 7-27-TradFormatIncome'!B24</f>
        <v>1958879.3831082715</v>
      </c>
      <c r="C17" s="85">
        <f>-'Actuarial balances'!D76</f>
        <v>0</v>
      </c>
      <c r="D17" s="387">
        <f>'Table 7-27-TradFormatIncome'!G24</f>
        <v>-58766.38149324814</v>
      </c>
      <c r="E17" s="85">
        <f>'Table 7-27-TradFormatIncome'!H24</f>
        <v>-27983.991187261025</v>
      </c>
      <c r="F17" s="85">
        <f>'Table 7-27-TradFormatIncome'!I24</f>
        <v>-44074.786119936107</v>
      </c>
      <c r="G17" s="85">
        <f>'Tables 26a,b-MasterInputs'!D36*('Table7- 31UL Asset Rollforward'!K16+'Table7- 31UL Asset Rollforward'!B17+'Table7- 31UL Asset Rollforward'!C17+'Table7- 31UL Asset Rollforward'!D17+'Table7- 31UL Asset Rollforward'!E17+'Table7- 31UL Asset Rollforward'!F17)</f>
        <v>509183.92703082366</v>
      </c>
      <c r="H17" s="85">
        <f>'Table 7-27-TradFormatIncome'!D24</f>
        <v>-124248.92087143895</v>
      </c>
      <c r="I17" s="85">
        <f>'Table 7-27-TradFormatIncome'!E24</f>
        <v>-777129.11242920009</v>
      </c>
      <c r="J17" s="85">
        <f>-'Table 7-27-TradFormatIncome'!K24</f>
        <v>-107721.02839886992</v>
      </c>
      <c r="K17" s="299">
        <f t="shared" si="0"/>
        <v>9683763.4059477877</v>
      </c>
    </row>
    <row r="18" spans="1:11" x14ac:dyDescent="0.25">
      <c r="A18" s="163">
        <f t="shared" si="1"/>
        <v>7</v>
      </c>
      <c r="B18" s="85">
        <f>'Table 7-27-TradFormatIncome'!B25</f>
        <v>1817713.5239163272</v>
      </c>
      <c r="C18" s="85">
        <f>-'Actuarial balances'!D77</f>
        <v>0</v>
      </c>
      <c r="D18" s="387">
        <f>'Table 7-27-TradFormatIncome'!G25</f>
        <v>-54531.405717489812</v>
      </c>
      <c r="E18" s="85">
        <f>'Table 7-27-TradFormatIncome'!H25</f>
        <v>-25967.336055947533</v>
      </c>
      <c r="F18" s="85">
        <f>'Table 7-27-TradFormatIncome'!I25</f>
        <v>-40898.554288117361</v>
      </c>
      <c r="G18" s="85">
        <f>'Tables 26a,b-MasterInputs'!D37*('Table7- 31UL Asset Rollforward'!K17+'Table7- 31UL Asset Rollforward'!B18+'Table7- 31UL Asset Rollforward'!C18+'Table7- 31UL Asset Rollforward'!D18+'Table7- 31UL Asset Rollforward'!E18+'Table7- 31UL Asset Rollforward'!F18)</f>
        <v>569003.98169012798</v>
      </c>
      <c r="H18" s="85">
        <f>'Table 7-27-TradFormatIncome'!D25</f>
        <v>-131394.72044309453</v>
      </c>
      <c r="I18" s="85">
        <f>'Table 7-27-TradFormatIncome'!E25</f>
        <v>-741411.23855534056</v>
      </c>
      <c r="J18" s="85">
        <f>-'Table 7-27-TradFormatIncome'!K25</f>
        <v>-119217.24296022973</v>
      </c>
      <c r="K18" s="299">
        <f t="shared" si="0"/>
        <v>10957060.413534023</v>
      </c>
    </row>
    <row r="19" spans="1:11" x14ac:dyDescent="0.25">
      <c r="A19" s="163">
        <f t="shared" si="1"/>
        <v>8</v>
      </c>
      <c r="B19" s="85">
        <f>'Table 7-27-TradFormatIncome'!B26</f>
        <v>1704327.8261787696</v>
      </c>
      <c r="C19" s="85">
        <f>-'Actuarial balances'!D78</f>
        <v>0</v>
      </c>
      <c r="D19" s="387">
        <f>'Table 7-27-TradFormatIncome'!G26</f>
        <v>-51129.834785363084</v>
      </c>
      <c r="E19" s="85">
        <f>'Table 7-27-TradFormatIncome'!H26</f>
        <v>-24347.540373982425</v>
      </c>
      <c r="F19" s="85">
        <f>'Table 7-27-TradFormatIncome'!I26</f>
        <v>-38347.376089022313</v>
      </c>
      <c r="G19" s="85">
        <f>'Tables 26a,b-MasterInputs'!D38*('Table7- 31UL Asset Rollforward'!K18+'Table7- 31UL Asset Rollforward'!B19+'Table7- 31UL Asset Rollforward'!C19+'Table7- 31UL Asset Rollforward'!D19+'Table7- 31UL Asset Rollforward'!E19+'Table7- 31UL Asset Rollforward'!F19)</f>
        <v>627378.17442322138</v>
      </c>
      <c r="H19" s="85">
        <f>'Table 7-27-TradFormatIncome'!D26</f>
        <v>-137807.07851674053</v>
      </c>
      <c r="I19" s="85">
        <f>'Table 7-27-TradFormatIncome'!E26</f>
        <v>-678642.37872418517</v>
      </c>
      <c r="J19" s="85">
        <f>-'Table 7-27-TradFormatIncome'!K26</f>
        <v>-130106.36967717487</v>
      </c>
      <c r="K19" s="299">
        <f t="shared" si="0"/>
        <v>12228385.835969545</v>
      </c>
    </row>
    <row r="20" spans="1:11" x14ac:dyDescent="0.25">
      <c r="A20" s="163">
        <f t="shared" si="1"/>
        <v>9</v>
      </c>
      <c r="B20" s="85">
        <f>'Table 7-27-TradFormatIncome'!B27</f>
        <v>1614529.3495091493</v>
      </c>
      <c r="C20" s="85">
        <f>-'Actuarial balances'!D79</f>
        <v>0</v>
      </c>
      <c r="D20" s="387">
        <f>'Table 7-27-TradFormatIncome'!G27</f>
        <v>-48435.88048527448</v>
      </c>
      <c r="E20" s="85">
        <f>'Table 7-27-TradFormatIncome'!H27</f>
        <v>-23064.704992987852</v>
      </c>
      <c r="F20" s="85">
        <f>'Table 7-27-TradFormatIncome'!I27</f>
        <v>-36326.91036395586</v>
      </c>
      <c r="G20" s="85">
        <f>'Tables 26a,b-MasterInputs'!D39*('Table7- 31UL Asset Rollforward'!K19+'Table7- 31UL Asset Rollforward'!B20+'Table7- 31UL Asset Rollforward'!C20+'Table7- 31UL Asset Rollforward'!D20+'Table7- 31UL Asset Rollforward'!E20+'Table7- 31UL Asset Rollforward'!F20)</f>
        <v>686754.384481824</v>
      </c>
      <c r="H20" s="85">
        <f>'Table 7-27-TradFormatIncome'!D27</f>
        <v>-143462.46505638445</v>
      </c>
      <c r="I20" s="85">
        <f>'Table 7-27-TradFormatIncome'!E27</f>
        <v>-592108.78334441048</v>
      </c>
      <c r="J20" s="85">
        <f>-'Table 7-27-TradFormatIncome'!K27</f>
        <v>-141873.23988488974</v>
      </c>
      <c r="K20" s="299">
        <f t="shared" si="0"/>
        <v>13544397.585832616</v>
      </c>
    </row>
    <row r="21" spans="1:11" x14ac:dyDescent="0.25">
      <c r="A21" s="163">
        <f t="shared" si="1"/>
        <v>10</v>
      </c>
      <c r="B21" s="85">
        <f>'Table 7-27-TradFormatIncome'!B28</f>
        <v>1545127.8367028888</v>
      </c>
      <c r="C21" s="85">
        <f>-'Actuarial balances'!D80</f>
        <v>0</v>
      </c>
      <c r="D21" s="387">
        <f>'Table 7-27-TradFormatIncome'!G28</f>
        <v>-46353.835101086661</v>
      </c>
      <c r="E21" s="85">
        <f>'Table 7-27-TradFormatIncome'!H28</f>
        <v>-22073.254810041279</v>
      </c>
      <c r="F21" s="85">
        <f>'Table 7-27-TradFormatIncome'!I28</f>
        <v>-34765.376325814999</v>
      </c>
      <c r="G21" s="85">
        <f>'Tables 26a,b-MasterInputs'!D40*('Table7- 31UL Asset Rollforward'!K20+'Table7- 31UL Asset Rollforward'!B21+'Table7- 31UL Asset Rollforward'!C21+'Table7- 31UL Asset Rollforward'!D21+'Table7- 31UL Asset Rollforward'!E21+'Table7- 31UL Asset Rollforward'!F21)</f>
        <v>749316.64781492809</v>
      </c>
      <c r="H21" s="85">
        <f>'Table 7-27-TradFormatIncome'!D28</f>
        <v>-152305.45818928478</v>
      </c>
      <c r="I21" s="85">
        <f>'Table 7-27-TradFormatIncome'!E28</f>
        <v>-643572.24591632921</v>
      </c>
      <c r="J21" s="85">
        <f>-'Table 7-27-TradFormatIncome'!K28</f>
        <v>-156861.62744795228</v>
      </c>
      <c r="K21" s="299">
        <f t="shared" si="0"/>
        <v>14782910.272559924</v>
      </c>
    </row>
    <row r="22" spans="1:11" x14ac:dyDescent="0.25">
      <c r="A22" s="163">
        <f t="shared" si="1"/>
        <v>11</v>
      </c>
      <c r="B22" s="85">
        <f>'Table 7-27-TradFormatIncome'!B29</f>
        <v>1478205.259839613</v>
      </c>
      <c r="C22" s="85">
        <f>-'Actuarial balances'!D81</f>
        <v>0</v>
      </c>
      <c r="D22" s="387">
        <f>'Table 7-27-TradFormatIncome'!G29</f>
        <v>-44346.157795188388</v>
      </c>
      <c r="E22" s="85">
        <f>'Table 7-27-TradFormatIncome'!H29</f>
        <v>-21117.217997708769</v>
      </c>
      <c r="F22" s="85">
        <f>'Table 7-27-TradFormatIncome'!I29</f>
        <v>-33259.618346391289</v>
      </c>
      <c r="G22" s="85">
        <f>'Tables 26a,b-MasterInputs'!D41*('Table7- 31UL Asset Rollforward'!K21+'Table7- 31UL Asset Rollforward'!B22+'Table7- 31UL Asset Rollforward'!C22+'Table7- 31UL Asset Rollforward'!D22+'Table7- 31UL Asset Rollforward'!E22+'Table7- 31UL Asset Rollforward'!F22)</f>
        <v>808119.62691301247</v>
      </c>
      <c r="H22" s="85">
        <f>'Table 7-27-TradFormatIncome'!D29</f>
        <v>-165136.64474208257</v>
      </c>
      <c r="I22" s="85">
        <f>'Table 7-27-TradFormatIncome'!E29</f>
        <v>-691264.88786456001</v>
      </c>
      <c r="J22" s="85">
        <f>-'Table 7-27-TradFormatIncome'!K29</f>
        <v>-179675.66216980555</v>
      </c>
      <c r="K22" s="299">
        <f t="shared" si="0"/>
        <v>15934434.970396813</v>
      </c>
    </row>
    <row r="23" spans="1:11" x14ac:dyDescent="0.25">
      <c r="A23" s="163">
        <f t="shared" si="1"/>
        <v>12</v>
      </c>
      <c r="B23" s="85">
        <f>'Table 7-27-TradFormatIncome'!B30</f>
        <v>1413528.4581826946</v>
      </c>
      <c r="C23" s="85">
        <f>-'Actuarial balances'!D82</f>
        <v>0</v>
      </c>
      <c r="D23" s="387">
        <f>'Table 7-27-TradFormatIncome'!G30</f>
        <v>-42405.853745480839</v>
      </c>
      <c r="E23" s="85">
        <f>'Table 7-27-TradFormatIncome'!H30</f>
        <v>-20193.263688324219</v>
      </c>
      <c r="F23" s="85">
        <f>'Table 7-27-TradFormatIncome'!I30</f>
        <v>-31804.390309110629</v>
      </c>
      <c r="G23" s="85">
        <f>'Tables 26a,b-MasterInputs'!D42*('Table7- 31UL Asset Rollforward'!K22+'Table7- 31UL Asset Rollforward'!B23+'Table7- 31UL Asset Rollforward'!C23+'Table7- 31UL Asset Rollforward'!D23+'Table7- 31UL Asset Rollforward'!E23+'Table7- 31UL Asset Rollforward'!F23)</f>
        <v>862677.9960418297</v>
      </c>
      <c r="H23" s="85">
        <f>'Table 7-27-TradFormatIncome'!D30</f>
        <v>-185374.16065881634</v>
      </c>
      <c r="I23" s="85">
        <f>'Table 7-27-TradFormatIncome'!E30</f>
        <v>-731453.8087006635</v>
      </c>
      <c r="J23" s="85">
        <f>-'Table 7-27-TradFormatIncome'!K30</f>
        <v>-213068.48755236785</v>
      </c>
      <c r="K23" s="299">
        <f t="shared" si="0"/>
        <v>16986341.459966574</v>
      </c>
    </row>
    <row r="24" spans="1:11" x14ac:dyDescent="0.25">
      <c r="A24" s="163">
        <f t="shared" si="1"/>
        <v>13</v>
      </c>
      <c r="B24" s="85">
        <f>'Table 7-27-TradFormatIncome'!B31</f>
        <v>1350758.7480572504</v>
      </c>
      <c r="C24" s="85">
        <f>-'Actuarial balances'!D83</f>
        <v>0</v>
      </c>
      <c r="D24" s="387">
        <f>'Table 7-27-TradFormatIncome'!G31</f>
        <v>-40522.76244171751</v>
      </c>
      <c r="E24" s="85">
        <f>'Table 7-27-TradFormatIncome'!H31</f>
        <v>-19296.553543675018</v>
      </c>
      <c r="F24" s="85">
        <f>'Table 7-27-TradFormatIncome'!I31</f>
        <v>-30392.071831288133</v>
      </c>
      <c r="G24" s="85">
        <f>'Tables 26a,b-MasterInputs'!D43*('Table7- 31UL Asset Rollforward'!K23+'Table7- 31UL Asset Rollforward'!B24+'Table7- 31UL Asset Rollforward'!C24+'Table7- 31UL Asset Rollforward'!D24+'Table7- 31UL Asset Rollforward'!E24+'Table7- 31UL Asset Rollforward'!F24)</f>
        <v>912344.44101035711</v>
      </c>
      <c r="H24" s="85">
        <f>'Table 7-27-TradFormatIncome'!D31</f>
        <v>-207630.91612994319</v>
      </c>
      <c r="I24" s="85">
        <f>'Table 7-27-TradFormatIncome'!E31</f>
        <v>-767704.55632872146</v>
      </c>
      <c r="J24" s="85">
        <f>-'Table 7-27-TradFormatIncome'!K31</f>
        <v>-244045.88949283105</v>
      </c>
      <c r="K24" s="299">
        <f t="shared" si="0"/>
        <v>17939851.899266005</v>
      </c>
    </row>
    <row r="25" spans="1:11" x14ac:dyDescent="0.25">
      <c r="A25" s="163">
        <f t="shared" si="1"/>
        <v>14</v>
      </c>
      <c r="B25" s="85">
        <f>'Table 7-27-TradFormatIncome'!B32</f>
        <v>1289751.9993529944</v>
      </c>
      <c r="C25" s="85">
        <f>-'Actuarial balances'!D84</f>
        <v>0</v>
      </c>
      <c r="D25" s="387">
        <f>'Table 7-27-TradFormatIncome'!G32</f>
        <v>-38692.559980589831</v>
      </c>
      <c r="E25" s="85">
        <f>'Table 7-27-TradFormatIncome'!H32</f>
        <v>-18425.028562185646</v>
      </c>
      <c r="F25" s="85">
        <f>'Table 7-27-TradFormatIncome'!I32</f>
        <v>-29019.419985442371</v>
      </c>
      <c r="G25" s="85">
        <f>'Tables 26a,b-MasterInputs'!D44*('Table7- 31UL Asset Rollforward'!K24+'Table7- 31UL Asset Rollforward'!B25+'Table7- 31UL Asset Rollforward'!C25+'Table7- 31UL Asset Rollforward'!D25+'Table7- 31UL Asset Rollforward'!E25+'Table7- 31UL Asset Rollforward'!F25)</f>
        <v>957173.34450453916</v>
      </c>
      <c r="H25" s="85">
        <f>'Table 7-27-TradFormatIncome'!D32</f>
        <v>-226996.35188612714</v>
      </c>
      <c r="I25" s="85">
        <f>'Table 7-27-TradFormatIncome'!E32</f>
        <v>-800242.2460051307</v>
      </c>
      <c r="J25" s="85">
        <f>-'Table 7-27-TradFormatIncome'!K32</f>
        <v>-272923.61087174539</v>
      </c>
      <c r="K25" s="299">
        <f t="shared" si="0"/>
        <v>18800478.025832318</v>
      </c>
    </row>
    <row r="26" spans="1:11" x14ac:dyDescent="0.25">
      <c r="A26" s="163">
        <f t="shared" si="1"/>
        <v>15</v>
      </c>
      <c r="B26" s="85">
        <f>'Table 7-27-TradFormatIncome'!B33</f>
        <v>1230534.8419555007</v>
      </c>
      <c r="C26" s="85">
        <f>-'Actuarial balances'!D85</f>
        <v>0</v>
      </c>
      <c r="D26" s="387">
        <f>'Table 7-27-TradFormatIncome'!G33</f>
        <v>-36916.045258665021</v>
      </c>
      <c r="E26" s="85">
        <f>'Table 7-27-TradFormatIncome'!H33</f>
        <v>-17579.069170792878</v>
      </c>
      <c r="F26" s="85">
        <f>'Table 7-27-TradFormatIncome'!I33</f>
        <v>-27687.033943998762</v>
      </c>
      <c r="G26" s="85">
        <f>'Tables 26a,b-MasterInputs'!D45*('Table7- 31UL Asset Rollforward'!K25+'Table7- 31UL Asset Rollforward'!B26+'Table7- 31UL Asset Rollforward'!C26+'Table7- 31UL Asset Rollforward'!D26+'Table7- 31UL Asset Rollforward'!E26+'Table7- 31UL Asset Rollforward'!F26)</f>
        <v>997441.53597071825</v>
      </c>
      <c r="H26" s="85">
        <f>'Table 7-27-TradFormatIncome'!D33</f>
        <v>-243645.89870718931</v>
      </c>
      <c r="I26" s="85">
        <f>'Table 7-27-TradFormatIncome'!E33</f>
        <v>-829284.30058123043</v>
      </c>
      <c r="J26" s="85">
        <f>-'Table 7-27-TradFormatIncome'!K33</f>
        <v>-299793.45058073592</v>
      </c>
      <c r="K26" s="299">
        <f t="shared" si="0"/>
        <v>19573548.605515923</v>
      </c>
    </row>
    <row r="27" spans="1:11" x14ac:dyDescent="0.25">
      <c r="A27" s="163">
        <f t="shared" si="1"/>
        <v>16</v>
      </c>
      <c r="B27" s="85">
        <f>'Table 7-27-TradFormatIncome'!B34</f>
        <v>1173126.9460807191</v>
      </c>
      <c r="C27" s="85">
        <f>-'Actuarial balances'!D86</f>
        <v>0</v>
      </c>
      <c r="D27" s="387">
        <f>'Table 7-27-TradFormatIncome'!G34</f>
        <v>-35193.808382421572</v>
      </c>
      <c r="E27" s="85">
        <f>'Table 7-27-TradFormatIncome'!H34</f>
        <v>-16758.956372581713</v>
      </c>
      <c r="F27" s="85">
        <f>'Table 7-27-TradFormatIncome'!I34</f>
        <v>-26395.356286816179</v>
      </c>
      <c r="G27" s="85">
        <f>'Tables 26a,b-MasterInputs'!D46*('Table7- 31UL Asset Rollforward'!K26+'Table7- 31UL Asset Rollforward'!B27+'Table7- 31UL Asset Rollforward'!C27+'Table7- 31UL Asset Rollforward'!D27+'Table7- 31UL Asset Rollforward'!E27+'Table7- 31UL Asset Rollforward'!F27)</f>
        <v>1033416.3715277412</v>
      </c>
      <c r="H27" s="85">
        <f>'Table 7-27-TradFormatIncome'!D34</f>
        <v>-260434.18202991984</v>
      </c>
      <c r="I27" s="85">
        <f>'Table 7-27-TradFormatIncome'!E34</f>
        <v>-854937.16226001189</v>
      </c>
      <c r="J27" s="85">
        <f>-'Table 7-27-TradFormatIncome'!K34</f>
        <v>-324642.37333912775</v>
      </c>
      <c r="K27" s="299">
        <f t="shared" si="0"/>
        <v>20261730.084453505</v>
      </c>
    </row>
    <row r="28" spans="1:11" x14ac:dyDescent="0.25">
      <c r="A28" s="163">
        <f t="shared" si="1"/>
        <v>17</v>
      </c>
      <c r="B28" s="85">
        <f>'Table 7-27-TradFormatIncome'!B35</f>
        <v>1117451.279721285</v>
      </c>
      <c r="C28" s="85">
        <f>-'Actuarial balances'!D87</f>
        <v>0</v>
      </c>
      <c r="D28" s="387">
        <f>'Table 7-27-TradFormatIncome'!G35</f>
        <v>-33523.538391638547</v>
      </c>
      <c r="E28" s="85">
        <f>'Table 7-27-TradFormatIncome'!H35</f>
        <v>-15963.589710304081</v>
      </c>
      <c r="F28" s="85">
        <f>'Table 7-27-TradFormatIncome'!I35</f>
        <v>-25142.65379372891</v>
      </c>
      <c r="G28" s="85">
        <f>'Tables 26a,b-MasterInputs'!D47*('Table7- 31UL Asset Rollforward'!K27+'Table7- 31UL Asset Rollforward'!B28+'Table7- 31UL Asset Rollforward'!C28+'Table7- 31UL Asset Rollforward'!D28+'Table7- 31UL Asset Rollforward'!E28+'Table7- 31UL Asset Rollforward'!F28)</f>
        <v>1065227.5791139561</v>
      </c>
      <c r="H28" s="85">
        <f>'Table 7-27-TradFormatIncome'!D35</f>
        <v>-270742.48148675723</v>
      </c>
      <c r="I28" s="85">
        <f>'Table 7-27-TradFormatIncome'!E35</f>
        <v>-877558.08393682144</v>
      </c>
      <c r="J28" s="85">
        <f>-'Table 7-27-TradFormatIncome'!K35</f>
        <v>-347774.99203928083</v>
      </c>
      <c r="K28" s="299">
        <f t="shared" si="0"/>
        <v>20873703.603930216</v>
      </c>
    </row>
    <row r="29" spans="1:11" x14ac:dyDescent="0.25">
      <c r="A29" s="163">
        <f t="shared" si="1"/>
        <v>18</v>
      </c>
      <c r="B29" s="85">
        <f>'Table 7-27-TradFormatIncome'!B36</f>
        <v>1063656.2811544784</v>
      </c>
      <c r="C29" s="85">
        <f>-'Actuarial balances'!D88</f>
        <v>0</v>
      </c>
      <c r="D29" s="387">
        <f>'Table 7-27-TradFormatIncome'!G36</f>
        <v>-31909.68843463435</v>
      </c>
      <c r="E29" s="85">
        <f>'Table 7-27-TradFormatIncome'!H36</f>
        <v>-15195.089730778272</v>
      </c>
      <c r="F29" s="85">
        <f>'Table 7-27-TradFormatIncome'!I36</f>
        <v>-23932.266325975765</v>
      </c>
      <c r="G29" s="85">
        <f>'Tables 26a,b-MasterInputs'!D48*('Table7- 31UL Asset Rollforward'!K28+'Table7- 31UL Asset Rollforward'!B29+'Table7- 31UL Asset Rollforward'!C29+'Table7- 31UL Asset Rollforward'!D29+'Table7- 31UL Asset Rollforward'!E29+'Table7- 31UL Asset Rollforward'!F29)</f>
        <v>1093316.1420296654</v>
      </c>
      <c r="H29" s="85">
        <f>'Table 7-27-TradFormatIncome'!D36</f>
        <v>-282628.66899247578</v>
      </c>
      <c r="I29" s="85">
        <f>'Table 7-27-TradFormatIncome'!E36</f>
        <v>-897195.50427008362</v>
      </c>
      <c r="J29" s="85">
        <f>-'Table 7-27-TradFormatIncome'!K36</f>
        <v>-369066.87061482901</v>
      </c>
      <c r="K29" s="299">
        <f t="shared" si="0"/>
        <v>21410747.938745584</v>
      </c>
    </row>
    <row r="30" spans="1:11" x14ac:dyDescent="0.25">
      <c r="A30" s="163">
        <f t="shared" si="1"/>
        <v>19</v>
      </c>
      <c r="B30" s="85">
        <f>'Table 7-27-TradFormatIncome'!B37</f>
        <v>1011613.7066301522</v>
      </c>
      <c r="C30" s="85">
        <f>-'Actuarial balances'!D89</f>
        <v>0</v>
      </c>
      <c r="D30" s="387">
        <f>'Table 7-27-TradFormatIncome'!G37</f>
        <v>-30348.411198904563</v>
      </c>
      <c r="E30" s="85">
        <f>'Table 7-27-TradFormatIncome'!H37</f>
        <v>-14451.624380430752</v>
      </c>
      <c r="F30" s="85">
        <f>'Table 7-27-TradFormatIncome'!I37</f>
        <v>-22761.308399178422</v>
      </c>
      <c r="G30" s="85">
        <f>'Tables 26a,b-MasterInputs'!D49*('Table7- 31UL Asset Rollforward'!K29+'Table7- 31UL Asset Rollforward'!B30+'Table7- 31UL Asset Rollforward'!C30+'Table7- 31UL Asset Rollforward'!D30+'Table7- 31UL Asset Rollforward'!E30+'Table7- 31UL Asset Rollforward'!F30)</f>
        <v>1117740.0150698612</v>
      </c>
      <c r="H30" s="85">
        <f>'Table 7-27-TradFormatIncome'!D37</f>
        <v>-295391.20233600459</v>
      </c>
      <c r="I30" s="85">
        <f>'Table 7-27-TradFormatIncome'!E37</f>
        <v>-913917.89956986438</v>
      </c>
      <c r="J30" s="85">
        <f>-'Table 7-27-TradFormatIncome'!K37</f>
        <v>-388616.37416808389</v>
      </c>
      <c r="K30" s="299">
        <f t="shared" si="0"/>
        <v>21874614.84039313</v>
      </c>
    </row>
    <row r="31" spans="1:11" ht="15.75" thickBot="1" x14ac:dyDescent="0.3">
      <c r="A31" s="95">
        <f>A30+1</f>
        <v>20</v>
      </c>
      <c r="B31" s="333">
        <f>'Table 7-27-TradFormatIncome'!B38</f>
        <v>961224.01396645629</v>
      </c>
      <c r="C31" s="333">
        <f>-'Actuarial balances'!D90</f>
        <v>0</v>
      </c>
      <c r="D31" s="388">
        <f>'Table 7-27-TradFormatIncome'!G38</f>
        <v>-28836.720418993689</v>
      </c>
      <c r="E31" s="333">
        <f>'Table 7-27-TradFormatIncome'!H38</f>
        <v>-13731.771628092241</v>
      </c>
      <c r="F31" s="333">
        <f>'Table 7-27-TradFormatIncome'!I38</f>
        <v>-21627.540314245267</v>
      </c>
      <c r="G31" s="333">
        <f>'Tables 26a,b-MasterInputs'!D50*('Table7- 31UL Asset Rollforward'!K30+'Table7- 31UL Asset Rollforward'!B31+'Table7- 31UL Asset Rollforward'!C31+'Table7- 31UL Asset Rollforward'!D31+'Table7- 31UL Asset Rollforward'!E31+'Table7- 31UL Asset Rollforward'!F31)</f>
        <v>1138582.1410999128</v>
      </c>
      <c r="H31" s="333">
        <f>'Table 7-27-TradFormatIncome'!D38</f>
        <v>-308964.86163207539</v>
      </c>
      <c r="I31" s="333">
        <f>'Table 7-27-TradFormatIncome'!E38</f>
        <v>-23194751.826353475</v>
      </c>
      <c r="J31" s="333">
        <f>-'Table 7-27-TradFormatIncome'!K38</f>
        <v>-406508.27511261456</v>
      </c>
      <c r="K31" s="389">
        <f t="shared" si="0"/>
        <v>0</v>
      </c>
    </row>
  </sheetData>
  <mergeCells count="2">
    <mergeCell ref="A6:K6"/>
    <mergeCell ref="A7:K7"/>
  </mergeCells>
  <pageMargins left="0.7" right="0.7" top="0.75" bottom="0.75" header="0.3" footer="0.3"/>
  <pageSetup orientation="portrait" r:id="rId1"/>
  <customProperties>
    <customPr name="EpmWorksheetKeyString_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C7964-8B36-4FBC-B8B7-2F8B62CF9602}">
  <sheetPr codeName="Sheet19"/>
  <dimension ref="A1:M37"/>
  <sheetViews>
    <sheetView zoomScaleNormal="100" workbookViewId="0">
      <selection activeCell="A5" sqref="A5"/>
    </sheetView>
  </sheetViews>
  <sheetFormatPr defaultColWidth="8.5703125" defaultRowHeight="15" x14ac:dyDescent="0.25"/>
  <cols>
    <col min="1" max="1" width="5.42578125" style="6" customWidth="1"/>
    <col min="2" max="2" width="10.42578125" style="6" customWidth="1"/>
    <col min="3" max="3" width="11.28515625" style="6" bestFit="1" customWidth="1"/>
    <col min="4" max="4" width="9.7109375" style="6" bestFit="1" customWidth="1"/>
    <col min="5" max="6" width="8.5703125" style="6" bestFit="1" customWidth="1"/>
    <col min="7" max="7" width="9.140625" style="6" bestFit="1" customWidth="1"/>
    <col min="8" max="8" width="7" style="6" bestFit="1" customWidth="1"/>
    <col min="9" max="10" width="9.7109375" style="6" bestFit="1" customWidth="1"/>
    <col min="11" max="11" width="9.5703125" style="6" bestFit="1" customWidth="1"/>
    <col min="12" max="12" width="10.5703125" style="6" bestFit="1" customWidth="1"/>
    <col min="13" max="13" width="8.5703125" style="6"/>
    <col min="14" max="14" width="12.5703125" style="6" bestFit="1" customWidth="1"/>
    <col min="15" max="15" width="11.140625" style="6" bestFit="1" customWidth="1"/>
    <col min="16" max="16" width="25.5703125" style="6" bestFit="1" customWidth="1"/>
    <col min="17" max="17" width="8.5703125" style="6"/>
    <col min="18" max="18" width="10.140625" style="6" bestFit="1" customWidth="1"/>
    <col min="19" max="16384" width="8.5703125" style="6"/>
  </cols>
  <sheetData>
    <row r="1" spans="1:13" x14ac:dyDescent="0.25">
      <c r="A1" s="76" t="s">
        <v>368</v>
      </c>
    </row>
    <row r="2" spans="1:13" x14ac:dyDescent="0.25">
      <c r="A2" s="45" t="s">
        <v>369</v>
      </c>
    </row>
    <row r="3" spans="1:13" x14ac:dyDescent="0.25">
      <c r="A3" s="78" t="s">
        <v>370</v>
      </c>
    </row>
    <row r="4" spans="1:13" x14ac:dyDescent="0.25">
      <c r="A4" s="79" t="s">
        <v>379</v>
      </c>
    </row>
    <row r="5" spans="1:13" ht="15.75" thickBot="1" x14ac:dyDescent="0.3"/>
    <row r="6" spans="1:13" x14ac:dyDescent="0.25">
      <c r="A6" s="469" t="s">
        <v>366</v>
      </c>
      <c r="B6" s="470"/>
      <c r="C6" s="470"/>
      <c r="D6" s="470"/>
      <c r="E6" s="470"/>
      <c r="F6" s="470"/>
      <c r="G6" s="470"/>
      <c r="H6" s="470"/>
      <c r="I6" s="470"/>
      <c r="J6" s="470"/>
      <c r="K6" s="470"/>
      <c r="L6" s="471"/>
    </row>
    <row r="7" spans="1:13" ht="15.75" thickBot="1" x14ac:dyDescent="0.3">
      <c r="A7" s="472" t="s">
        <v>336</v>
      </c>
      <c r="B7" s="473"/>
      <c r="C7" s="473"/>
      <c r="D7" s="473"/>
      <c r="E7" s="473"/>
      <c r="F7" s="473"/>
      <c r="G7" s="473"/>
      <c r="H7" s="473"/>
      <c r="I7" s="473"/>
      <c r="J7" s="473"/>
      <c r="K7" s="473"/>
      <c r="L7" s="474"/>
    </row>
    <row r="8" spans="1:13" x14ac:dyDescent="0.25">
      <c r="A8" s="390"/>
      <c r="B8" s="390"/>
      <c r="C8" s="390" t="s">
        <v>34</v>
      </c>
      <c r="D8" s="384" t="s">
        <v>319</v>
      </c>
      <c r="E8" s="289" t="s">
        <v>317</v>
      </c>
      <c r="F8" s="390"/>
      <c r="G8" s="390" t="s">
        <v>243</v>
      </c>
      <c r="H8" s="390"/>
      <c r="I8" s="390"/>
      <c r="J8" s="390"/>
      <c r="K8" s="390"/>
      <c r="L8" s="390" t="s">
        <v>254</v>
      </c>
    </row>
    <row r="9" spans="1:13" x14ac:dyDescent="0.25">
      <c r="A9" s="359" t="s">
        <v>3</v>
      </c>
      <c r="B9" s="359"/>
      <c r="C9" s="359" t="s">
        <v>255</v>
      </c>
      <c r="D9" s="349" t="s">
        <v>323</v>
      </c>
      <c r="E9" s="291" t="s">
        <v>318</v>
      </c>
      <c r="F9" s="359" t="s">
        <v>17</v>
      </c>
      <c r="G9" s="359" t="s">
        <v>237</v>
      </c>
      <c r="H9" s="359" t="s">
        <v>246</v>
      </c>
      <c r="I9" s="359" t="s">
        <v>238</v>
      </c>
      <c r="J9" s="359" t="s">
        <v>23</v>
      </c>
      <c r="K9" s="359" t="s">
        <v>52</v>
      </c>
      <c r="L9" s="359" t="s">
        <v>256</v>
      </c>
    </row>
    <row r="10" spans="1:13" ht="15.75" thickBot="1" x14ac:dyDescent="0.3">
      <c r="A10" s="361" t="s">
        <v>7</v>
      </c>
      <c r="B10" s="361" t="s">
        <v>17</v>
      </c>
      <c r="C10" s="361" t="s">
        <v>41</v>
      </c>
      <c r="D10" s="350" t="s">
        <v>41</v>
      </c>
      <c r="E10" s="145" t="s">
        <v>41</v>
      </c>
      <c r="F10" s="361" t="s">
        <v>234</v>
      </c>
      <c r="G10" s="361" t="s">
        <v>53</v>
      </c>
      <c r="H10" s="361" t="s">
        <v>249</v>
      </c>
      <c r="I10" s="361" t="s">
        <v>240</v>
      </c>
      <c r="J10" s="361" t="s">
        <v>240</v>
      </c>
      <c r="K10" s="361" t="s">
        <v>257</v>
      </c>
      <c r="L10" s="361" t="s">
        <v>299</v>
      </c>
    </row>
    <row r="11" spans="1:13" x14ac:dyDescent="0.25">
      <c r="A11" s="391"/>
      <c r="B11" s="362"/>
      <c r="C11" s="362"/>
      <c r="D11" s="392">
        <v>0</v>
      </c>
      <c r="E11" s="362"/>
      <c r="F11" s="362"/>
      <c r="G11" s="362"/>
      <c r="H11" s="362"/>
      <c r="I11" s="362"/>
      <c r="J11" s="362"/>
      <c r="K11" s="393"/>
      <c r="L11" s="394">
        <v>0</v>
      </c>
    </row>
    <row r="12" spans="1:13" x14ac:dyDescent="0.25">
      <c r="A12" s="395">
        <v>1</v>
      </c>
      <c r="B12" s="396">
        <f>'Tables7-13-23 - IULHostVEDCalcs'!BP18</f>
        <v>3500000</v>
      </c>
      <c r="C12" s="396">
        <f>-'Actuarial balances'!D71</f>
        <v>-2120000</v>
      </c>
      <c r="D12" s="396">
        <f>'Table7-30 - IULGAAPFormatIncome'!M19</f>
        <v>-130000.00000000009</v>
      </c>
      <c r="E12" s="396">
        <f>'Table7-30 - IULGAAPFormatIncome'!J19</f>
        <v>-50000</v>
      </c>
      <c r="F12" s="396">
        <f>'Table7-30 - IULGAAPFormatIncome'!K19</f>
        <v>-78750</v>
      </c>
      <c r="G12" s="396">
        <f>'Tables 26a,b-MasterInputs'!D31*(L11+B12+C12+D12+E12+F12 - (('IDX AV No Decrements'!C47)/(1+'Table 7-10-OptionBudget'!$D$14))*('Table 12-IUL Census'!D11/'Table 12-IUL Census'!$D$11))</f>
        <v>51997.576803343385</v>
      </c>
      <c r="H12" s="364">
        <f>('IDX AV No Decrements'!C47-(('IDX AV No Decrements'!C47)/(1+'Table 7-10-OptionBudget'!$D$14)))*('Table 12-IUL Census'!D11/'Table 12-IUL Census'!$D$11)</f>
        <v>4064.9231966566149</v>
      </c>
      <c r="I12" s="396">
        <f>'Table 7-28-IULTradFormatIncome'!E19</f>
        <v>-80000</v>
      </c>
      <c r="J12" s="396">
        <f>'Table 7-28-IULTradFormatIncome'!F19</f>
        <v>-202186.62052713893</v>
      </c>
      <c r="K12" s="396">
        <f>-IF('Tables 26a,b-MasterInputs'!$I$13="Yes", 'Table7-30 - IULGAAPFormatIncome'!Q19,'Table7-30 - IULGAAPFormatIncome'!O19)</f>
        <v>45578.739740516816</v>
      </c>
      <c r="L12" s="397">
        <f>L11+SUM(B12:K12)</f>
        <v>940704.61921337782</v>
      </c>
    </row>
    <row r="13" spans="1:13" x14ac:dyDescent="0.25">
      <c r="A13" s="395">
        <f>A12+1</f>
        <v>2</v>
      </c>
      <c r="B13" s="396">
        <f>'Tables7-13-23 - IULHostVEDCalcs'!BP19</f>
        <v>2972620</v>
      </c>
      <c r="C13" s="396">
        <f>-'Actuarial balances'!D72</f>
        <v>0</v>
      </c>
      <c r="D13" s="396">
        <f>'Table7-30 - IULGAAPFormatIncome'!M20</f>
        <v>-89178.599999999991</v>
      </c>
      <c r="E13" s="396">
        <f>'Table7-30 - IULGAAPFormatIncome'!J20</f>
        <v>-42466</v>
      </c>
      <c r="F13" s="396">
        <f>'Table7-30 - IULGAAPFormatIncome'!K20</f>
        <v>-66883.95</v>
      </c>
      <c r="G13" s="396">
        <f>'Tables 26a,b-MasterInputs'!D32*(L12+B13+C13+D13+E13+F13 - (('IDX AV No Decrements'!C48)/(1+'Table 7-10-OptionBudget'!$D$14))*('Table 12-IUL Census'!D12/'Table 12-IUL Census'!$D$11))</f>
        <v>178796.58504391889</v>
      </c>
      <c r="H13" s="364">
        <f>('IDX AV No Decrements'!C48-(('IDX AV No Decrements'!C48)/(1+'Table 7-10-OptionBudget'!$D$14)))*('Table 12-IUL Census'!D12/'Table 12-IUL Census'!$D$11)</f>
        <v>6943.21841675001</v>
      </c>
      <c r="I13" s="396">
        <f>'Table 7-28-IULTradFormatIncome'!E20</f>
        <v>-93425.2</v>
      </c>
      <c r="J13" s="396">
        <f>'Table 7-28-IULTradFormatIncome'!F20</f>
        <v>-502882.6258912551</v>
      </c>
      <c r="K13" s="396">
        <f>-IF('Tables 26a,b-MasterInputs'!$I$13="Yes", 'Table7-30 - IULGAAPFormatIncome'!Q20,'Table7-30 - IULGAAPFormatIncome'!O20)</f>
        <v>7503.5967736866442</v>
      </c>
      <c r="L13" s="397">
        <f>L12+SUM(B13:K13)</f>
        <v>3311731.6435564775</v>
      </c>
    </row>
    <row r="14" spans="1:13" ht="15.75" thickBot="1" x14ac:dyDescent="0.3">
      <c r="A14" s="398">
        <f t="shared" ref="A14" si="0">A13+1</f>
        <v>3</v>
      </c>
      <c r="B14" s="399">
        <f>'Tables7-13-23 - IULHostVEDCalcs'!BP20</f>
        <v>2613028.10384</v>
      </c>
      <c r="C14" s="399">
        <f>-'Actuarial balances'!D73</f>
        <v>0</v>
      </c>
      <c r="D14" s="399">
        <f>'Table7-30 - IULGAAPFormatIncome'!M21</f>
        <v>-78390.843115199998</v>
      </c>
      <c r="E14" s="399">
        <f>'Table7-30 - IULGAAPFormatIncome'!J21</f>
        <v>-37328.972911999997</v>
      </c>
      <c r="F14" s="399">
        <f>'Table7-30 - IULGAAPFormatIncome'!K21</f>
        <v>-58793.132336399998</v>
      </c>
      <c r="G14" s="399">
        <f>'Tables 26a,b-MasterInputs'!D33*(L13+B14+C14+D14+E14+F14 - (('IDX AV No Decrements'!C49)/(1+'Table 7-10-OptionBudget'!$D$14))*('Table 12-IUL Census'!D13/'Table 12-IUL Census'!$D$11))</f>
        <v>278306.9373801162</v>
      </c>
      <c r="H14" s="367">
        <f>('IDX AV No Decrements'!C49-(('IDX AV No Decrements'!C49)/(1+'Table 7-10-OptionBudget'!$D$14)))*('Table 12-IUL Census'!D13/'Table 12-IUL Census'!$D$11)</f>
        <v>9205.4025715276475</v>
      </c>
      <c r="I14" s="399">
        <f>'Table 7-28-IULTradFormatIncome'!E21</f>
        <v>-106760.86252832001</v>
      </c>
      <c r="J14" s="399">
        <f>'Table 7-28-IULTradFormatIncome'!F21</f>
        <v>-639041.04796262516</v>
      </c>
      <c r="K14" s="399">
        <f>-IF('Tables 26a,b-MasterInputs'!$I$13="Yes", 'Table7-30 - IULGAAPFormatIncome'!Q21,'Table7-30 - IULGAAPFormatIncome'!O21)</f>
        <v>-25452.712189614947</v>
      </c>
      <c r="L14" s="400">
        <f>L13+SUM(B14:K14)</f>
        <v>5266504.5163039612</v>
      </c>
    </row>
    <row r="15" spans="1:13" x14ac:dyDescent="0.25">
      <c r="A15" s="75"/>
      <c r="B15" s="75"/>
      <c r="C15" s="75"/>
      <c r="D15" s="75"/>
      <c r="E15" s="75"/>
      <c r="F15" s="75"/>
      <c r="G15" s="75"/>
      <c r="H15" s="75"/>
      <c r="I15" s="75"/>
      <c r="J15" s="75"/>
      <c r="K15" s="75"/>
      <c r="L15" s="75"/>
      <c r="M15" s="75"/>
    </row>
    <row r="16" spans="1:13" x14ac:dyDescent="0.25">
      <c r="A16" s="75"/>
      <c r="B16" s="75"/>
      <c r="C16" s="75"/>
      <c r="D16" s="75"/>
      <c r="E16" s="75"/>
      <c r="F16" s="75"/>
      <c r="G16" s="75"/>
      <c r="H16" s="75"/>
      <c r="I16" s="75"/>
      <c r="J16" s="75"/>
      <c r="K16" s="75"/>
      <c r="L16" s="75"/>
      <c r="M16" s="75"/>
    </row>
    <row r="17" spans="1:13" x14ac:dyDescent="0.25">
      <c r="A17" s="75"/>
      <c r="B17" s="75"/>
      <c r="C17" s="75"/>
      <c r="D17" s="75"/>
      <c r="E17" s="75"/>
      <c r="F17" s="75"/>
      <c r="G17" s="75"/>
      <c r="H17" s="75"/>
      <c r="I17" s="75"/>
      <c r="J17" s="75"/>
      <c r="K17" s="75"/>
      <c r="L17" s="75"/>
      <c r="M17" s="75"/>
    </row>
    <row r="18" spans="1:13" x14ac:dyDescent="0.25">
      <c r="A18" s="75"/>
      <c r="B18" s="75"/>
      <c r="C18" s="75"/>
      <c r="D18" s="75"/>
      <c r="E18" s="75"/>
      <c r="F18" s="75"/>
      <c r="G18" s="75"/>
      <c r="H18" s="75"/>
      <c r="I18" s="75"/>
      <c r="J18" s="75"/>
      <c r="K18" s="75"/>
      <c r="L18" s="75"/>
      <c r="M18" s="75"/>
    </row>
    <row r="19" spans="1:13" x14ac:dyDescent="0.25">
      <c r="A19" s="75"/>
      <c r="B19" s="75"/>
      <c r="C19" s="75"/>
      <c r="D19" s="75"/>
      <c r="E19" s="75"/>
      <c r="F19" s="75"/>
      <c r="G19" s="75"/>
      <c r="H19" s="75"/>
      <c r="I19" s="75"/>
      <c r="J19" s="75"/>
      <c r="K19" s="75"/>
      <c r="L19" s="75"/>
      <c r="M19" s="75"/>
    </row>
    <row r="20" spans="1:13" x14ac:dyDescent="0.25">
      <c r="A20" s="75"/>
      <c r="B20" s="75"/>
      <c r="C20" s="75"/>
      <c r="D20" s="75"/>
      <c r="E20" s="75"/>
      <c r="F20" s="75"/>
      <c r="G20" s="75"/>
      <c r="H20" s="75"/>
      <c r="I20" s="75"/>
      <c r="J20" s="75"/>
      <c r="K20" s="75"/>
      <c r="L20" s="75"/>
      <c r="M20" s="75"/>
    </row>
    <row r="21" spans="1:13" x14ac:dyDescent="0.25">
      <c r="A21" s="75"/>
      <c r="B21" s="75"/>
      <c r="C21" s="75"/>
      <c r="D21" s="75"/>
      <c r="E21" s="75"/>
      <c r="F21" s="75"/>
      <c r="G21" s="75"/>
      <c r="H21" s="75"/>
      <c r="I21" s="75"/>
      <c r="J21" s="75"/>
      <c r="K21" s="75"/>
      <c r="L21" s="75"/>
      <c r="M21" s="75"/>
    </row>
    <row r="22" spans="1:13" x14ac:dyDescent="0.25">
      <c r="A22" s="75"/>
      <c r="B22" s="75"/>
      <c r="C22" s="75"/>
      <c r="D22" s="75"/>
      <c r="E22" s="75"/>
      <c r="F22" s="75"/>
      <c r="G22" s="75"/>
      <c r="H22" s="75"/>
      <c r="I22" s="75"/>
      <c r="J22" s="75"/>
      <c r="K22" s="75"/>
      <c r="L22" s="75"/>
      <c r="M22" s="75"/>
    </row>
    <row r="23" spans="1:13" x14ac:dyDescent="0.25">
      <c r="A23" s="75"/>
      <c r="B23" s="75"/>
      <c r="C23" s="75"/>
      <c r="D23" s="75"/>
      <c r="E23" s="75"/>
      <c r="F23" s="75"/>
      <c r="G23" s="75"/>
      <c r="H23" s="75"/>
      <c r="I23" s="75"/>
      <c r="J23" s="75"/>
      <c r="K23" s="75"/>
      <c r="L23" s="75"/>
      <c r="M23" s="75"/>
    </row>
    <row r="24" spans="1:13" x14ac:dyDescent="0.25">
      <c r="A24" s="75"/>
      <c r="B24" s="75"/>
      <c r="C24" s="75"/>
      <c r="D24" s="75"/>
      <c r="E24" s="75"/>
      <c r="F24" s="75"/>
      <c r="G24" s="75"/>
      <c r="H24" s="75"/>
      <c r="I24" s="75"/>
      <c r="J24" s="75"/>
      <c r="K24" s="75"/>
      <c r="L24" s="75"/>
      <c r="M24" s="75"/>
    </row>
    <row r="25" spans="1:13" x14ac:dyDescent="0.25">
      <c r="A25" s="75"/>
      <c r="B25" s="75"/>
      <c r="C25" s="75"/>
      <c r="D25" s="75"/>
      <c r="E25" s="75"/>
      <c r="F25" s="75"/>
      <c r="G25" s="75"/>
      <c r="H25" s="75"/>
      <c r="I25" s="75"/>
      <c r="J25" s="75"/>
      <c r="K25" s="75"/>
      <c r="L25" s="75"/>
      <c r="M25" s="75"/>
    </row>
    <row r="26" spans="1:13" x14ac:dyDescent="0.25">
      <c r="A26" s="75"/>
      <c r="B26" s="75"/>
      <c r="C26" s="75"/>
      <c r="D26" s="75"/>
      <c r="E26" s="75"/>
      <c r="F26" s="75"/>
      <c r="G26" s="75"/>
      <c r="H26" s="75"/>
      <c r="I26" s="75"/>
      <c r="J26" s="75"/>
      <c r="K26" s="75"/>
      <c r="L26" s="75"/>
      <c r="M26" s="75"/>
    </row>
    <row r="27" spans="1:13" x14ac:dyDescent="0.25">
      <c r="A27" s="75"/>
      <c r="B27" s="75"/>
      <c r="C27" s="75"/>
      <c r="D27" s="75"/>
      <c r="E27" s="75"/>
      <c r="F27" s="75"/>
      <c r="G27" s="75"/>
      <c r="H27" s="75"/>
      <c r="I27" s="75"/>
      <c r="J27" s="75"/>
      <c r="K27" s="75"/>
      <c r="L27" s="75"/>
      <c r="M27" s="75"/>
    </row>
    <row r="28" spans="1:13" x14ac:dyDescent="0.25">
      <c r="A28" s="75"/>
      <c r="B28" s="75"/>
      <c r="C28" s="75"/>
      <c r="D28" s="75"/>
      <c r="E28" s="75"/>
      <c r="F28" s="75"/>
      <c r="G28" s="75"/>
      <c r="H28" s="75"/>
      <c r="I28" s="75"/>
      <c r="J28" s="75"/>
      <c r="K28" s="75"/>
      <c r="L28" s="75"/>
      <c r="M28" s="75"/>
    </row>
    <row r="29" spans="1:13" x14ac:dyDescent="0.25">
      <c r="A29" s="75"/>
      <c r="B29" s="75"/>
      <c r="C29" s="75"/>
      <c r="D29" s="75"/>
      <c r="E29" s="75"/>
      <c r="F29" s="75"/>
      <c r="G29" s="75"/>
      <c r="H29" s="75"/>
      <c r="I29" s="75"/>
      <c r="J29" s="75"/>
      <c r="K29" s="75"/>
      <c r="L29" s="75"/>
      <c r="M29" s="75"/>
    </row>
    <row r="30" spans="1:13" x14ac:dyDescent="0.25">
      <c r="A30" s="75"/>
      <c r="B30" s="75"/>
      <c r="C30" s="75"/>
      <c r="D30" s="75"/>
      <c r="E30" s="75"/>
      <c r="F30" s="75"/>
      <c r="G30" s="75"/>
      <c r="H30" s="75"/>
      <c r="I30" s="75"/>
      <c r="J30" s="75"/>
      <c r="K30" s="75"/>
      <c r="L30" s="75"/>
      <c r="M30" s="75"/>
    </row>
    <row r="31" spans="1:13" x14ac:dyDescent="0.25">
      <c r="A31" s="75"/>
      <c r="B31" s="75"/>
      <c r="C31" s="75"/>
      <c r="D31" s="75"/>
      <c r="E31" s="75"/>
      <c r="F31" s="75"/>
      <c r="G31" s="75"/>
      <c r="H31" s="75"/>
      <c r="I31" s="75"/>
      <c r="J31" s="75"/>
      <c r="K31" s="75"/>
      <c r="L31" s="75"/>
      <c r="M31" s="75"/>
    </row>
    <row r="32" spans="1:13" x14ac:dyDescent="0.25">
      <c r="A32" s="75"/>
      <c r="B32" s="75"/>
      <c r="C32" s="75"/>
      <c r="D32" s="75"/>
      <c r="E32" s="75"/>
      <c r="F32" s="75"/>
      <c r="G32" s="75"/>
      <c r="H32" s="75"/>
      <c r="I32" s="75"/>
      <c r="J32" s="75"/>
      <c r="K32" s="75"/>
      <c r="L32" s="75"/>
      <c r="M32" s="75"/>
    </row>
    <row r="33" spans="1:13" x14ac:dyDescent="0.25">
      <c r="A33" s="75"/>
      <c r="B33" s="75"/>
      <c r="C33" s="75"/>
      <c r="D33" s="75"/>
      <c r="E33" s="75"/>
      <c r="F33" s="75"/>
      <c r="G33" s="75"/>
      <c r="H33" s="75"/>
      <c r="I33" s="75"/>
      <c r="J33" s="75"/>
      <c r="K33" s="75"/>
      <c r="L33" s="75"/>
      <c r="M33" s="75"/>
    </row>
    <row r="34" spans="1:13" x14ac:dyDescent="0.25">
      <c r="A34" s="75"/>
      <c r="B34" s="75"/>
      <c r="C34" s="75"/>
      <c r="D34" s="75"/>
      <c r="E34" s="75"/>
      <c r="F34" s="75"/>
      <c r="G34" s="75"/>
      <c r="H34" s="75"/>
      <c r="I34" s="75"/>
      <c r="J34" s="75"/>
      <c r="K34" s="75"/>
      <c r="L34" s="75"/>
      <c r="M34" s="75"/>
    </row>
    <row r="35" spans="1:13" x14ac:dyDescent="0.25">
      <c r="A35" s="75"/>
      <c r="B35" s="75"/>
      <c r="C35" s="75"/>
      <c r="D35" s="75"/>
      <c r="E35" s="75"/>
      <c r="F35" s="75"/>
      <c r="G35" s="75"/>
      <c r="H35" s="75"/>
      <c r="I35" s="75"/>
      <c r="J35" s="75"/>
      <c r="K35" s="75"/>
      <c r="L35" s="75"/>
      <c r="M35" s="75"/>
    </row>
    <row r="36" spans="1:13" x14ac:dyDescent="0.25">
      <c r="A36" s="75"/>
      <c r="B36" s="75"/>
      <c r="C36" s="75"/>
      <c r="D36" s="75"/>
      <c r="E36" s="75"/>
      <c r="F36" s="75"/>
      <c r="G36" s="75"/>
      <c r="H36" s="75"/>
      <c r="I36" s="75"/>
      <c r="J36" s="75"/>
      <c r="K36" s="75"/>
      <c r="L36" s="75"/>
      <c r="M36" s="75"/>
    </row>
    <row r="37" spans="1:13" x14ac:dyDescent="0.25">
      <c r="A37" s="75"/>
      <c r="B37" s="75"/>
      <c r="C37" s="75"/>
      <c r="D37" s="75"/>
      <c r="E37" s="75"/>
      <c r="F37" s="75"/>
      <c r="G37" s="75"/>
      <c r="H37" s="75"/>
      <c r="I37" s="75"/>
      <c r="J37" s="75"/>
      <c r="K37" s="75"/>
      <c r="L37" s="75"/>
      <c r="M37" s="75"/>
    </row>
  </sheetData>
  <mergeCells count="2">
    <mergeCell ref="A6:L6"/>
    <mergeCell ref="A7:L7"/>
  </mergeCells>
  <pageMargins left="0.75" right="0.75" top="1" bottom="1" header="0.5" footer="0.5"/>
  <pageSetup orientation="portrait" horizontalDpi="1200" verticalDpi="1200" r:id="rId1"/>
  <headerFooter alignWithMargins="0"/>
  <customProperties>
    <customPr name="EpmWorksheetKeyString_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1:J34"/>
  <sheetViews>
    <sheetView showGridLines="0" workbookViewId="0">
      <selection activeCell="H19" sqref="H19"/>
    </sheetView>
  </sheetViews>
  <sheetFormatPr defaultColWidth="8.5703125" defaultRowHeight="15" x14ac:dyDescent="0.25"/>
  <cols>
    <col min="1" max="1" width="8.5703125" style="75"/>
    <col min="2" max="2" width="13.5703125" style="75" bestFit="1" customWidth="1"/>
    <col min="3" max="3" width="11" style="75" bestFit="1" customWidth="1"/>
    <col min="4" max="5" width="11.5703125" style="75" bestFit="1" customWidth="1"/>
    <col min="6" max="6" width="11.140625" style="75" customWidth="1"/>
    <col min="7" max="8" width="8.5703125" style="75"/>
    <col min="9" max="9" width="11.140625" style="75" bestFit="1" customWidth="1"/>
    <col min="10" max="10" width="12.5703125" style="75" bestFit="1" customWidth="1"/>
    <col min="11" max="16384" width="8.5703125" style="75"/>
  </cols>
  <sheetData>
    <row r="1" spans="1:10" x14ac:dyDescent="0.25">
      <c r="A1" s="76" t="s">
        <v>368</v>
      </c>
    </row>
    <row r="2" spans="1:10" x14ac:dyDescent="0.25">
      <c r="A2" s="45" t="s">
        <v>369</v>
      </c>
    </row>
    <row r="3" spans="1:10" x14ac:dyDescent="0.25">
      <c r="A3" s="78" t="s">
        <v>370</v>
      </c>
    </row>
    <row r="4" spans="1:10" x14ac:dyDescent="0.25">
      <c r="A4" s="79" t="s">
        <v>379</v>
      </c>
    </row>
    <row r="6" spans="1:10" x14ac:dyDescent="0.25">
      <c r="A6" s="1" t="s">
        <v>337</v>
      </c>
    </row>
    <row r="7" spans="1:10" x14ac:dyDescent="0.25">
      <c r="A7" s="1" t="s">
        <v>46</v>
      </c>
    </row>
    <row r="8" spans="1:10" x14ac:dyDescent="0.25">
      <c r="A8" s="1" t="s">
        <v>258</v>
      </c>
    </row>
    <row r="9" spans="1:10" ht="15.75" thickBot="1" x14ac:dyDescent="0.3">
      <c r="B9" s="1"/>
    </row>
    <row r="10" spans="1:10" x14ac:dyDescent="0.25">
      <c r="A10" s="417" t="s">
        <v>337</v>
      </c>
      <c r="B10" s="418"/>
      <c r="C10" s="418"/>
      <c r="D10" s="418"/>
      <c r="E10" s="419"/>
      <c r="F10" s="102"/>
    </row>
    <row r="11" spans="1:10" ht="15.75" thickBot="1" x14ac:dyDescent="0.3">
      <c r="A11" s="414" t="s">
        <v>259</v>
      </c>
      <c r="B11" s="415"/>
      <c r="C11" s="415"/>
      <c r="D11" s="415"/>
      <c r="E11" s="416"/>
      <c r="F11" s="305"/>
    </row>
    <row r="12" spans="1:10" x14ac:dyDescent="0.25">
      <c r="A12" s="401" t="s">
        <v>3</v>
      </c>
      <c r="B12" s="401" t="s">
        <v>254</v>
      </c>
      <c r="C12" s="401"/>
      <c r="D12" s="401" t="s">
        <v>35</v>
      </c>
      <c r="E12" s="100" t="s">
        <v>35</v>
      </c>
      <c r="F12" s="401" t="s">
        <v>48</v>
      </c>
    </row>
    <row r="13" spans="1:10" ht="15.75" thickBot="1" x14ac:dyDescent="0.3">
      <c r="A13" s="298" t="s">
        <v>7</v>
      </c>
      <c r="B13" s="298" t="s">
        <v>256</v>
      </c>
      <c r="C13" s="298" t="s">
        <v>33</v>
      </c>
      <c r="D13" s="298" t="s">
        <v>256</v>
      </c>
      <c r="E13" s="109" t="s">
        <v>260</v>
      </c>
      <c r="F13" s="298" t="s">
        <v>49</v>
      </c>
    </row>
    <row r="14" spans="1:10" x14ac:dyDescent="0.25">
      <c r="A14" s="133"/>
      <c r="B14" s="101"/>
      <c r="C14" s="134"/>
      <c r="D14" s="101"/>
      <c r="E14" s="101"/>
      <c r="F14" s="402"/>
    </row>
    <row r="15" spans="1:10" x14ac:dyDescent="0.25">
      <c r="A15" s="137">
        <v>1</v>
      </c>
      <c r="B15" s="85">
        <f>'Table7- 31UL Asset Rollforward'!K12</f>
        <v>940705.2991678369</v>
      </c>
      <c r="C15" s="85">
        <f>'Actuarial balances'!D99</f>
        <v>1903659.5637737433</v>
      </c>
      <c r="D15" s="85">
        <f>B15+C15</f>
        <v>2844364.8629415804</v>
      </c>
      <c r="E15" s="85">
        <f>'Actuarial balances'!K44</f>
        <v>2844364.8629415804</v>
      </c>
      <c r="F15" s="403">
        <f t="shared" ref="F15:F34" si="0">D15-E15</f>
        <v>0</v>
      </c>
      <c r="I15" s="84"/>
      <c r="J15" s="84"/>
    </row>
    <row r="16" spans="1:10" x14ac:dyDescent="0.25">
      <c r="A16" s="137">
        <f>A15+1</f>
        <v>2</v>
      </c>
      <c r="B16" s="85">
        <f>'Table7- 31UL Asset Rollforward'!K13</f>
        <v>3311733.4618780669</v>
      </c>
      <c r="C16" s="85">
        <f>'Actuarial balances'!D100</f>
        <v>1719917.3044780591</v>
      </c>
      <c r="D16" s="85">
        <f t="shared" ref="D16:D24" si="1">B16+C16</f>
        <v>5031650.7663561255</v>
      </c>
      <c r="E16" s="85">
        <f>'Actuarial balances'!K45</f>
        <v>5031650.7663561264</v>
      </c>
      <c r="F16" s="403">
        <f t="shared" si="0"/>
        <v>0</v>
      </c>
      <c r="I16" s="84"/>
      <c r="J16" s="84"/>
    </row>
    <row r="17" spans="1:10" x14ac:dyDescent="0.25">
      <c r="A17" s="137">
        <f t="shared" ref="A17:A34" si="2">A16+1</f>
        <v>3</v>
      </c>
      <c r="B17" s="85">
        <f>'Table7- 31UL Asset Rollforward'!K14</f>
        <v>5266507.8317104848</v>
      </c>
      <c r="C17" s="85">
        <f>'Actuarial balances'!D101</f>
        <v>1558401.9788048551</v>
      </c>
      <c r="D17" s="85">
        <f t="shared" si="1"/>
        <v>6824909.8105153404</v>
      </c>
      <c r="E17" s="85">
        <f>'Actuarial balances'!K46</f>
        <v>6824909.8105153404</v>
      </c>
      <c r="F17" s="403">
        <f t="shared" si="0"/>
        <v>0</v>
      </c>
      <c r="I17" s="84"/>
      <c r="J17" s="84"/>
    </row>
    <row r="18" spans="1:10" x14ac:dyDescent="0.25">
      <c r="A18" s="137">
        <f t="shared" si="2"/>
        <v>4</v>
      </c>
      <c r="B18" s="85">
        <f>'Table7- 31UL Asset Rollforward'!K15</f>
        <v>6913082.8304675622</v>
      </c>
      <c r="C18" s="85">
        <f>'Actuarial balances'!D102</f>
        <v>1413246.0559231131</v>
      </c>
      <c r="D18" s="85">
        <f t="shared" si="1"/>
        <v>8326328.8863906749</v>
      </c>
      <c r="E18" s="85">
        <f>'Actuarial balances'!K47</f>
        <v>8326328.8863906758</v>
      </c>
      <c r="F18" s="403">
        <f t="shared" si="0"/>
        <v>0</v>
      </c>
      <c r="I18" s="84"/>
      <c r="J18" s="84"/>
    </row>
    <row r="19" spans="1:10" x14ac:dyDescent="0.25">
      <c r="A19" s="137">
        <f t="shared" si="2"/>
        <v>5</v>
      </c>
      <c r="B19" s="85">
        <f>'Table7- 31UL Asset Rollforward'!K16</f>
        <v>8355624.3163086465</v>
      </c>
      <c r="C19" s="85">
        <f>'Actuarial balances'!D103</f>
        <v>1281380.0432323241</v>
      </c>
      <c r="D19" s="85">
        <f t="shared" si="1"/>
        <v>9637004.359540971</v>
      </c>
      <c r="E19" s="85">
        <f>'Actuarial balances'!K48</f>
        <v>9637004.359540971</v>
      </c>
      <c r="F19" s="403">
        <f t="shared" si="0"/>
        <v>0</v>
      </c>
    </row>
    <row r="20" spans="1:10" x14ac:dyDescent="0.25">
      <c r="A20" s="137">
        <f t="shared" si="2"/>
        <v>6</v>
      </c>
      <c r="B20" s="85">
        <f>'Table7- 31UL Asset Rollforward'!K17</f>
        <v>9683763.4059477877</v>
      </c>
      <c r="C20" s="85">
        <f>'Actuarial balances'!D104</f>
        <v>1160298.6660162488</v>
      </c>
      <c r="D20" s="85">
        <f t="shared" si="1"/>
        <v>10844062.071964037</v>
      </c>
      <c r="E20" s="85">
        <f>'Actuarial balances'!K49</f>
        <v>10844062.071964037</v>
      </c>
      <c r="F20" s="403">
        <f t="shared" si="0"/>
        <v>0</v>
      </c>
    </row>
    <row r="21" spans="1:10" x14ac:dyDescent="0.25">
      <c r="A21" s="137">
        <f t="shared" si="2"/>
        <v>7</v>
      </c>
      <c r="B21" s="85">
        <f>'Table7- 31UL Asset Rollforward'!K18</f>
        <v>10957060.413534023</v>
      </c>
      <c r="C21" s="85">
        <f>'Actuarial balances'!D105</f>
        <v>1047942.9698166989</v>
      </c>
      <c r="D21" s="85">
        <f t="shared" si="1"/>
        <v>12005003.383350722</v>
      </c>
      <c r="E21" s="85">
        <f>'Actuarial balances'!K50</f>
        <v>12005003.383350722</v>
      </c>
      <c r="F21" s="403">
        <f t="shared" si="0"/>
        <v>0</v>
      </c>
    </row>
    <row r="22" spans="1:10" x14ac:dyDescent="0.25">
      <c r="A22" s="137">
        <f t="shared" si="2"/>
        <v>8</v>
      </c>
      <c r="B22" s="85">
        <f>'Table7- 31UL Asset Rollforward'!K19</f>
        <v>12228385.835969545</v>
      </c>
      <c r="C22" s="85">
        <f>'Actuarial balances'!D106</f>
        <v>942595.8197058239</v>
      </c>
      <c r="D22" s="85">
        <f t="shared" si="1"/>
        <v>13170981.655675368</v>
      </c>
      <c r="E22" s="85">
        <f>'Actuarial balances'!K51</f>
        <v>13170981.65567537</v>
      </c>
      <c r="F22" s="403">
        <f t="shared" si="0"/>
        <v>0</v>
      </c>
    </row>
    <row r="23" spans="1:10" x14ac:dyDescent="0.25">
      <c r="A23" s="137">
        <f t="shared" si="2"/>
        <v>9</v>
      </c>
      <c r="B23" s="85">
        <f>'Table7- 31UL Asset Rollforward'!K20</f>
        <v>13544397.585832616</v>
      </c>
      <c r="C23" s="85">
        <f>'Actuarial balances'!D107</f>
        <v>842799.25291356572</v>
      </c>
      <c r="D23" s="85">
        <f t="shared" si="1"/>
        <v>14387196.838746183</v>
      </c>
      <c r="E23" s="85">
        <f>'Actuarial balances'!K52</f>
        <v>14387196.838746183</v>
      </c>
      <c r="F23" s="403">
        <f t="shared" si="0"/>
        <v>0</v>
      </c>
    </row>
    <row r="24" spans="1:10" x14ac:dyDescent="0.25">
      <c r="A24" s="137">
        <f t="shared" si="2"/>
        <v>10</v>
      </c>
      <c r="B24" s="85">
        <f>'Table7- 31UL Asset Rollforward'!K21</f>
        <v>14782910.272559924</v>
      </c>
      <c r="C24" s="85">
        <f>'Actuarial balances'!D108</f>
        <v>747292.50142281281</v>
      </c>
      <c r="D24" s="85">
        <f t="shared" si="1"/>
        <v>15530202.773982737</v>
      </c>
      <c r="E24" s="85">
        <f>'Actuarial balances'!K53</f>
        <v>15530202.773982737</v>
      </c>
      <c r="F24" s="403">
        <f t="shared" si="0"/>
        <v>0</v>
      </c>
    </row>
    <row r="25" spans="1:10" x14ac:dyDescent="0.25">
      <c r="A25" s="137">
        <f t="shared" si="2"/>
        <v>11</v>
      </c>
      <c r="B25" s="85">
        <f>'Table7- 31UL Asset Rollforward'!K22</f>
        <v>15934434.970396813</v>
      </c>
      <c r="C25" s="85">
        <f>'Actuarial balances'!D109</f>
        <v>655922.33835262735</v>
      </c>
      <c r="D25" s="85">
        <f t="shared" ref="D25:D34" si="3">B25+C25</f>
        <v>16590357.308749441</v>
      </c>
      <c r="E25" s="85">
        <f>'Actuarial balances'!K54</f>
        <v>16590357.308749441</v>
      </c>
      <c r="F25" s="403">
        <f t="shared" si="0"/>
        <v>0</v>
      </c>
    </row>
    <row r="26" spans="1:10" x14ac:dyDescent="0.25">
      <c r="A26" s="137">
        <f t="shared" si="2"/>
        <v>12</v>
      </c>
      <c r="B26" s="85">
        <f>'Table7- 31UL Asset Rollforward'!K23</f>
        <v>16986341.459966574</v>
      </c>
      <c r="C26" s="85">
        <f>'Actuarial balances'!D110</f>
        <v>568549.94884934963</v>
      </c>
      <c r="D26" s="85">
        <f t="shared" si="3"/>
        <v>17554891.408815924</v>
      </c>
      <c r="E26" s="85">
        <f>'Actuarial balances'!K55</f>
        <v>17554891.408815924</v>
      </c>
      <c r="F26" s="403">
        <f t="shared" si="0"/>
        <v>0</v>
      </c>
    </row>
    <row r="27" spans="1:10" x14ac:dyDescent="0.25">
      <c r="A27" s="137">
        <f t="shared" si="2"/>
        <v>13</v>
      </c>
      <c r="B27" s="85">
        <f>'Table7- 31UL Asset Rollforward'!K24</f>
        <v>17939851.899266005</v>
      </c>
      <c r="C27" s="85">
        <f>'Actuarial balances'!D111</f>
        <v>485057.45262331027</v>
      </c>
      <c r="D27" s="85">
        <f t="shared" si="3"/>
        <v>18424909.351889316</v>
      </c>
      <c r="E27" s="85">
        <f>'Actuarial balances'!K56</f>
        <v>18424909.351889316</v>
      </c>
      <c r="F27" s="403">
        <f t="shared" si="0"/>
        <v>0</v>
      </c>
    </row>
    <row r="28" spans="1:10" x14ac:dyDescent="0.25">
      <c r="A28" s="137">
        <f t="shared" si="2"/>
        <v>14</v>
      </c>
      <c r="B28" s="85">
        <f>'Table7- 31UL Asset Rollforward'!K25</f>
        <v>18800478.025832318</v>
      </c>
      <c r="C28" s="85">
        <f>'Actuarial balances'!D112</f>
        <v>405335.87829082069</v>
      </c>
      <c r="D28" s="85">
        <f t="shared" si="3"/>
        <v>19205813.904123139</v>
      </c>
      <c r="E28" s="85">
        <f>'Actuarial balances'!K57</f>
        <v>19205813.904123139</v>
      </c>
      <c r="F28" s="403">
        <f t="shared" si="0"/>
        <v>0</v>
      </c>
    </row>
    <row r="29" spans="1:10" x14ac:dyDescent="0.25">
      <c r="A29" s="137">
        <f t="shared" si="2"/>
        <v>15</v>
      </c>
      <c r="B29" s="85">
        <f>'Table7- 31UL Asset Rollforward'!K26</f>
        <v>19573548.605515923</v>
      </c>
      <c r="C29" s="85">
        <f>'Actuarial balances'!D113</f>
        <v>329274.60843360331</v>
      </c>
      <c r="D29" s="85">
        <f t="shared" si="3"/>
        <v>19902823.213949528</v>
      </c>
      <c r="E29" s="85">
        <f>'Actuarial balances'!K58</f>
        <v>19902823.213949528</v>
      </c>
      <c r="F29" s="403">
        <f t="shared" si="0"/>
        <v>0</v>
      </c>
    </row>
    <row r="30" spans="1:10" x14ac:dyDescent="0.25">
      <c r="A30" s="137">
        <f t="shared" si="2"/>
        <v>16</v>
      </c>
      <c r="B30" s="85">
        <f>'Table7- 31UL Asset Rollforward'!K27</f>
        <v>20261730.084453505</v>
      </c>
      <c r="C30" s="85">
        <f>'Actuarial balances'!D114</f>
        <v>256761.80978678074</v>
      </c>
      <c r="D30" s="85">
        <f t="shared" si="3"/>
        <v>20518491.894240286</v>
      </c>
      <c r="E30" s="85">
        <f>'Actuarial balances'!K59</f>
        <v>20518491.894240286</v>
      </c>
      <c r="F30" s="403">
        <f t="shared" si="0"/>
        <v>0</v>
      </c>
    </row>
    <row r="31" spans="1:10" x14ac:dyDescent="0.25">
      <c r="A31" s="137">
        <f t="shared" si="2"/>
        <v>17</v>
      </c>
      <c r="B31" s="85">
        <f>'Table7- 31UL Asset Rollforward'!K28</f>
        <v>20873703.603930216</v>
      </c>
      <c r="C31" s="85">
        <f>'Actuarial balances'!D115</f>
        <v>187690.41055349744</v>
      </c>
      <c r="D31" s="85">
        <f t="shared" si="3"/>
        <v>21061394.014483713</v>
      </c>
      <c r="E31" s="85">
        <f>'Actuarial balances'!K60</f>
        <v>21061394.014483713</v>
      </c>
      <c r="F31" s="403">
        <f t="shared" si="0"/>
        <v>0</v>
      </c>
    </row>
    <row r="32" spans="1:10" x14ac:dyDescent="0.25">
      <c r="A32" s="137">
        <f t="shared" si="2"/>
        <v>18</v>
      </c>
      <c r="B32" s="85">
        <f>'Table7- 31UL Asset Rollforward'!K29</f>
        <v>21410747.938745584</v>
      </c>
      <c r="C32" s="85">
        <f>'Actuarial balances'!D116</f>
        <v>121944.1637364238</v>
      </c>
      <c r="D32" s="85">
        <f t="shared" si="3"/>
        <v>21532692.10248201</v>
      </c>
      <c r="E32" s="85">
        <f>'Actuarial balances'!K61</f>
        <v>21532692.102482006</v>
      </c>
      <c r="F32" s="403">
        <f t="shared" si="0"/>
        <v>0</v>
      </c>
    </row>
    <row r="33" spans="1:6" x14ac:dyDescent="0.25">
      <c r="A33" s="137">
        <f t="shared" si="2"/>
        <v>19</v>
      </c>
      <c r="B33" s="85">
        <f>'Table7- 31UL Asset Rollforward'!K30</f>
        <v>21874614.84039313</v>
      </c>
      <c r="C33" s="85">
        <f>'Actuarial balances'!D117</f>
        <v>59414.749283615936</v>
      </c>
      <c r="D33" s="85">
        <f t="shared" si="3"/>
        <v>21934029.589676745</v>
      </c>
      <c r="E33" s="85">
        <f>'Actuarial balances'!K62</f>
        <v>21934029.589676745</v>
      </c>
      <c r="F33" s="403">
        <f t="shared" si="0"/>
        <v>0</v>
      </c>
    </row>
    <row r="34" spans="1:6" ht="15.75" thickBot="1" x14ac:dyDescent="0.3">
      <c r="A34" s="139">
        <f t="shared" si="2"/>
        <v>20</v>
      </c>
      <c r="B34" s="333">
        <f>'Table7- 31UL Asset Rollforward'!K31</f>
        <v>0</v>
      </c>
      <c r="C34" s="333">
        <f>'Actuarial balances'!D118</f>
        <v>-2.1827872842550278E-10</v>
      </c>
      <c r="D34" s="333">
        <f t="shared" si="3"/>
        <v>-2.1827872842550278E-10</v>
      </c>
      <c r="E34" s="333">
        <f>'Actuarial balances'!K63</f>
        <v>0</v>
      </c>
      <c r="F34" s="404">
        <f t="shared" si="0"/>
        <v>-2.1827872842550278E-10</v>
      </c>
    </row>
  </sheetData>
  <mergeCells count="2">
    <mergeCell ref="A10:E10"/>
    <mergeCell ref="A11:E11"/>
  </mergeCells>
  <pageMargins left="0.7" right="0.7" top="0.75" bottom="0.75" header="0.3" footer="0.3"/>
  <pageSetup orientation="portrait" r:id="rId1"/>
  <customProperties>
    <customPr name="EpmWorksheetKeyString_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C3502-5F6C-49E5-8B57-0E3E140BDAF9}">
  <sheetPr codeName="Sheet20"/>
  <dimension ref="A1:H17"/>
  <sheetViews>
    <sheetView workbookViewId="0">
      <selection activeCell="P20" sqref="P20"/>
    </sheetView>
  </sheetViews>
  <sheetFormatPr defaultColWidth="8.5703125" defaultRowHeight="15" x14ac:dyDescent="0.25"/>
  <cols>
    <col min="1" max="1" width="8.42578125" style="343" customWidth="1"/>
    <col min="2" max="2" width="14.5703125" style="343" customWidth="1"/>
    <col min="3" max="3" width="11.5703125" style="343" customWidth="1"/>
    <col min="4" max="6" width="11" style="343" bestFit="1" customWidth="1"/>
    <col min="7" max="7" width="11" style="343" customWidth="1"/>
    <col min="8" max="8" width="11.140625" style="343" customWidth="1"/>
    <col min="9" max="16384" width="8.5703125" style="411"/>
  </cols>
  <sheetData>
    <row r="1" spans="1:8" x14ac:dyDescent="0.25">
      <c r="A1" s="76" t="s">
        <v>368</v>
      </c>
    </row>
    <row r="2" spans="1:8" x14ac:dyDescent="0.25">
      <c r="A2" s="45" t="s">
        <v>369</v>
      </c>
    </row>
    <row r="3" spans="1:8" x14ac:dyDescent="0.25">
      <c r="A3" s="78" t="s">
        <v>370</v>
      </c>
    </row>
    <row r="4" spans="1:8" x14ac:dyDescent="0.25">
      <c r="A4" s="79" t="s">
        <v>379</v>
      </c>
    </row>
    <row r="6" spans="1:8" x14ac:dyDescent="0.25">
      <c r="A6" s="5" t="s">
        <v>367</v>
      </c>
    </row>
    <row r="7" spans="1:8" x14ac:dyDescent="0.25">
      <c r="A7" s="5" t="s">
        <v>132</v>
      </c>
    </row>
    <row r="8" spans="1:8" x14ac:dyDescent="0.25">
      <c r="A8" s="1" t="s">
        <v>258</v>
      </c>
    </row>
    <row r="9" spans="1:8" ht="15.75" thickBot="1" x14ac:dyDescent="0.3">
      <c r="A9" s="75"/>
    </row>
    <row r="10" spans="1:8" x14ac:dyDescent="0.25">
      <c r="A10" s="475" t="s">
        <v>367</v>
      </c>
      <c r="B10" s="476"/>
      <c r="C10" s="476"/>
      <c r="D10" s="476"/>
      <c r="E10" s="476"/>
      <c r="F10" s="476"/>
      <c r="G10" s="476"/>
      <c r="H10" s="477"/>
    </row>
    <row r="11" spans="1:8" ht="15.75" thickBot="1" x14ac:dyDescent="0.3">
      <c r="A11" s="478" t="s">
        <v>342</v>
      </c>
      <c r="B11" s="479"/>
      <c r="C11" s="479"/>
      <c r="D11" s="479"/>
      <c r="E11" s="479"/>
      <c r="F11" s="479"/>
      <c r="G11" s="479"/>
      <c r="H11" s="480"/>
    </row>
    <row r="12" spans="1:8" x14ac:dyDescent="0.25">
      <c r="A12" s="384" t="s">
        <v>16</v>
      </c>
      <c r="B12" s="384" t="s">
        <v>338</v>
      </c>
      <c r="C12" s="384" t="s">
        <v>246</v>
      </c>
      <c r="D12" s="384"/>
      <c r="E12" s="384" t="s">
        <v>35</v>
      </c>
      <c r="F12" s="384" t="s">
        <v>218</v>
      </c>
      <c r="G12" s="384" t="s">
        <v>341</v>
      </c>
      <c r="H12" s="384" t="s">
        <v>48</v>
      </c>
    </row>
    <row r="13" spans="1:8" ht="15.75" thickBot="1" x14ac:dyDescent="0.3">
      <c r="A13" s="350" t="s">
        <v>7</v>
      </c>
      <c r="B13" s="350" t="s">
        <v>339</v>
      </c>
      <c r="C13" s="350" t="s">
        <v>261</v>
      </c>
      <c r="D13" s="350" t="s">
        <v>33</v>
      </c>
      <c r="E13" s="350" t="s">
        <v>256</v>
      </c>
      <c r="F13" s="350" t="s">
        <v>340</v>
      </c>
      <c r="G13" s="350" t="s">
        <v>340</v>
      </c>
      <c r="H13" s="350" t="s">
        <v>49</v>
      </c>
    </row>
    <row r="14" spans="1:8" x14ac:dyDescent="0.25">
      <c r="A14" s="405"/>
      <c r="B14" s="352"/>
      <c r="C14" s="352"/>
      <c r="D14" s="386"/>
      <c r="E14" s="352"/>
      <c r="F14" s="352"/>
      <c r="G14" s="352"/>
      <c r="H14" s="407"/>
    </row>
    <row r="15" spans="1:8" x14ac:dyDescent="0.25">
      <c r="A15" s="408">
        <v>1</v>
      </c>
      <c r="B15" s="387">
        <f>'Table 7-32 IUL - Assets Rollfwd'!L12</f>
        <v>940704.61921337782</v>
      </c>
      <c r="C15" s="387">
        <v>0</v>
      </c>
      <c r="D15" s="387">
        <f>'Actuarial balances'!D99</f>
        <v>1903659.5637737433</v>
      </c>
      <c r="E15" s="387">
        <f>SUM(B15:D15)</f>
        <v>2844364.1829871209</v>
      </c>
      <c r="F15" s="387">
        <f>'Table 7-24-IULHostVEDRecap'!C11</f>
        <v>2532151.7991722147</v>
      </c>
      <c r="G15" s="387">
        <f>'Table 7-24-IULHostVEDRecap'!B11</f>
        <v>312646.34848849638</v>
      </c>
      <c r="H15" s="409">
        <f>E15-SUM(F15:G15)</f>
        <v>-433.96467358991504</v>
      </c>
    </row>
    <row r="16" spans="1:8" x14ac:dyDescent="0.25">
      <c r="A16" s="408">
        <f>A15+1</f>
        <v>2</v>
      </c>
      <c r="B16" s="387">
        <f>'Table 7-32 IUL - Assets Rollfwd'!L13</f>
        <v>3311731.6435564775</v>
      </c>
      <c r="C16" s="387">
        <v>0</v>
      </c>
      <c r="D16" s="387">
        <f>'Actuarial balances'!D100</f>
        <v>1719917.3044780591</v>
      </c>
      <c r="E16" s="387">
        <f t="shared" ref="E16:E17" si="0">SUM(B16:D16)</f>
        <v>5031648.9480345361</v>
      </c>
      <c r="F16" s="387">
        <f>'Table 7-24-IULHostVEDRecap'!C12</f>
        <v>4263038.9734213697</v>
      </c>
      <c r="G16" s="387">
        <f>'Table 7-24-IULHostVEDRecap'!B12</f>
        <v>747016.22947353288</v>
      </c>
      <c r="H16" s="409">
        <f t="shared" ref="H16:H17" si="1">E16-SUM(F16:G16)</f>
        <v>21593.745139633305</v>
      </c>
    </row>
    <row r="17" spans="1:8" ht="15.75" thickBot="1" x14ac:dyDescent="0.3">
      <c r="A17" s="406">
        <f t="shared" ref="A17" si="2">A16+1</f>
        <v>3</v>
      </c>
      <c r="B17" s="388">
        <f>'Table 7-32 IUL - Assets Rollfwd'!L14</f>
        <v>5266504.5163039612</v>
      </c>
      <c r="C17" s="388">
        <v>0</v>
      </c>
      <c r="D17" s="388">
        <f>'Actuarial balances'!D101</f>
        <v>1558401.9788048551</v>
      </c>
      <c r="E17" s="388">
        <f t="shared" si="0"/>
        <v>6824906.4951088168</v>
      </c>
      <c r="F17" s="388">
        <f>'Table 7-24-IULHostVEDRecap'!C13</f>
        <v>5556080.8971314952</v>
      </c>
      <c r="G17" s="388">
        <f>'Table 7-24-IULHostVEDRecap'!B13</f>
        <v>1223409.8716374738</v>
      </c>
      <c r="H17" s="410">
        <f t="shared" si="1"/>
        <v>45415.726339847781</v>
      </c>
    </row>
  </sheetData>
  <mergeCells count="2">
    <mergeCell ref="A10:H10"/>
    <mergeCell ref="A11:H11"/>
  </mergeCells>
  <pageMargins left="0.75" right="0.75" top="1" bottom="1" header="0.5" footer="0.5"/>
  <pageSetup orientation="portrait" r:id="rId1"/>
  <headerFooter alignWithMargins="0"/>
  <customProperties>
    <customPr name="EpmWorksheetKeyString_GUID" r:id="rId2"/>
  </customProperties>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90ABB-9DA0-4676-B5AF-88B4A784626F}">
  <sheetPr codeName="Sheet16"/>
  <dimension ref="A1:U97"/>
  <sheetViews>
    <sheetView zoomScaleNormal="100" workbookViewId="0">
      <selection activeCell="A5" sqref="A5"/>
    </sheetView>
  </sheetViews>
  <sheetFormatPr defaultColWidth="8.5703125" defaultRowHeight="15" x14ac:dyDescent="0.25"/>
  <cols>
    <col min="1" max="1" width="11" style="75" customWidth="1"/>
    <col min="2" max="3" width="15.140625" style="75" bestFit="1" customWidth="1"/>
    <col min="4" max="4" width="11.42578125" style="75" bestFit="1" customWidth="1"/>
    <col min="5" max="5" width="14.5703125" style="75" bestFit="1" customWidth="1"/>
    <col min="6" max="6" width="12" style="75" customWidth="1"/>
    <col min="7" max="7" width="16.140625" style="75" bestFit="1" customWidth="1"/>
    <col min="8" max="10" width="12.42578125" style="75" bestFit="1" customWidth="1"/>
    <col min="11" max="11" width="12" style="75" bestFit="1" customWidth="1"/>
    <col min="12" max="12" width="12.5703125" style="75" bestFit="1" customWidth="1"/>
    <col min="13" max="13" width="11.5703125" style="75" bestFit="1" customWidth="1"/>
    <col min="14" max="14" width="11" style="75" bestFit="1" customWidth="1"/>
    <col min="15" max="15" width="13.140625" style="75" customWidth="1"/>
    <col min="16" max="16" width="10.5703125" style="75" bestFit="1" customWidth="1"/>
    <col min="17" max="17" width="15.42578125" style="75" bestFit="1" customWidth="1"/>
    <col min="18" max="18" width="10.5703125" style="75" bestFit="1" customWidth="1"/>
    <col min="19" max="19" width="10" style="75" bestFit="1" customWidth="1"/>
    <col min="20" max="20" width="10.5703125" style="75" bestFit="1" customWidth="1"/>
    <col min="21" max="21" width="9" style="75" bestFit="1" customWidth="1"/>
    <col min="22" max="22" width="9.5703125" style="75" bestFit="1" customWidth="1"/>
    <col min="23" max="23" width="7.5703125" style="75" bestFit="1" customWidth="1"/>
    <col min="24" max="24" width="8.5703125" style="75" bestFit="1" customWidth="1"/>
    <col min="25" max="25" width="11.5703125" style="75" bestFit="1" customWidth="1"/>
    <col min="26" max="26" width="10.42578125" style="75" bestFit="1" customWidth="1"/>
    <col min="27" max="27" width="11.5703125" style="75" bestFit="1" customWidth="1"/>
    <col min="28" max="28" width="12.42578125" style="75" bestFit="1" customWidth="1"/>
    <col min="29" max="29" width="11.5703125" style="75" bestFit="1" customWidth="1"/>
    <col min="30" max="30" width="10.5703125" style="75" bestFit="1" customWidth="1"/>
    <col min="31" max="31" width="11.42578125" style="75" bestFit="1" customWidth="1"/>
    <col min="32" max="32" width="10.5703125" style="75" bestFit="1" customWidth="1"/>
    <col min="33" max="33" width="12.42578125" style="75" bestFit="1" customWidth="1"/>
    <col min="34" max="35" width="8.5703125" style="75"/>
    <col min="36" max="36" width="10.5703125" style="75" bestFit="1" customWidth="1"/>
    <col min="37" max="37" width="9" style="75" bestFit="1" customWidth="1"/>
    <col min="38" max="38" width="9.5703125" style="75" bestFit="1" customWidth="1"/>
    <col min="39" max="39" width="7.5703125" style="75" bestFit="1" customWidth="1"/>
    <col min="40" max="40" width="8.5703125" style="75" bestFit="1" customWidth="1"/>
    <col min="41" max="41" width="11.5703125" style="75" bestFit="1" customWidth="1"/>
    <col min="42" max="42" width="10.42578125" style="75" bestFit="1" customWidth="1"/>
    <col min="43" max="43" width="11.5703125" style="75" bestFit="1" customWidth="1"/>
    <col min="44" max="44" width="12.42578125" style="75" bestFit="1" customWidth="1"/>
    <col min="45" max="45" width="11.5703125" style="75" bestFit="1" customWidth="1"/>
    <col min="46" max="46" width="10.5703125" style="75" bestFit="1" customWidth="1"/>
    <col min="47" max="47" width="11.42578125" style="75" bestFit="1" customWidth="1"/>
    <col min="48" max="48" width="10.5703125" style="75" bestFit="1" customWidth="1"/>
    <col min="49" max="49" width="12.42578125" style="75" bestFit="1" customWidth="1"/>
    <col min="50" max="51" width="8.5703125" style="75"/>
    <col min="52" max="52" width="10.5703125" style="75" bestFit="1" customWidth="1"/>
    <col min="53" max="53" width="9" style="75" bestFit="1" customWidth="1"/>
    <col min="54" max="54" width="9.5703125" style="75" bestFit="1" customWidth="1"/>
    <col min="55" max="55" width="7.5703125" style="75" bestFit="1" customWidth="1"/>
    <col min="56" max="56" width="8.5703125" style="75" bestFit="1" customWidth="1"/>
    <col min="57" max="57" width="11.5703125" style="75" bestFit="1" customWidth="1"/>
    <col min="58" max="58" width="10.42578125" style="75" bestFit="1" customWidth="1"/>
    <col min="59" max="59" width="11.5703125" style="75" bestFit="1" customWidth="1"/>
    <col min="60" max="60" width="12.42578125" style="75" bestFit="1" customWidth="1"/>
    <col min="61" max="61" width="11.5703125" style="75" bestFit="1" customWidth="1"/>
    <col min="62" max="62" width="10.5703125" style="75" bestFit="1" customWidth="1"/>
    <col min="63" max="63" width="11.42578125" style="75" bestFit="1" customWidth="1"/>
    <col min="64" max="64" width="10.5703125" style="75" bestFit="1" customWidth="1"/>
    <col min="65" max="65" width="12.42578125" style="75" bestFit="1" customWidth="1"/>
    <col min="66" max="67" width="8.5703125" style="75"/>
    <col min="68" max="68" width="10.5703125" style="75" bestFit="1" customWidth="1"/>
    <col min="69" max="69" width="8.5703125" style="75"/>
    <col min="70" max="70" width="9.5703125" style="75" bestFit="1" customWidth="1"/>
    <col min="71" max="72" width="8.5703125" style="75"/>
    <col min="73" max="73" width="11.5703125" style="75" bestFit="1" customWidth="1"/>
    <col min="74" max="74" width="10.42578125" style="75" bestFit="1" customWidth="1"/>
    <col min="75" max="75" width="11.5703125" style="75" bestFit="1" customWidth="1"/>
    <col min="76" max="76" width="12.42578125" style="75" bestFit="1" customWidth="1"/>
    <col min="77" max="77" width="11.5703125" style="75" bestFit="1" customWidth="1"/>
    <col min="78" max="78" width="10.5703125" style="75" bestFit="1" customWidth="1"/>
    <col min="79" max="79" width="11.42578125" style="75" bestFit="1" customWidth="1"/>
    <col min="80" max="80" width="10.5703125" style="75" bestFit="1" customWidth="1"/>
    <col min="81" max="81" width="12.42578125" style="75" bestFit="1" customWidth="1"/>
    <col min="82" max="83" width="8.5703125" style="75"/>
    <col min="84" max="84" width="10.5703125" style="75" bestFit="1" customWidth="1"/>
    <col min="85" max="85" width="9" style="75" bestFit="1" customWidth="1"/>
    <col min="86" max="86" width="9.5703125" style="75" bestFit="1" customWidth="1"/>
    <col min="87" max="87" width="7.5703125" style="75" bestFit="1" customWidth="1"/>
    <col min="88" max="88" width="8.5703125" style="75" bestFit="1" customWidth="1"/>
    <col min="89" max="89" width="11.5703125" style="75" bestFit="1" customWidth="1"/>
    <col min="90" max="90" width="10.42578125" style="75" bestFit="1" customWidth="1"/>
    <col min="91" max="91" width="11.5703125" style="75" bestFit="1" customWidth="1"/>
    <col min="92" max="92" width="12.42578125" style="75" bestFit="1" customWidth="1"/>
    <col min="93" max="93" width="11.5703125" style="75" bestFit="1" customWidth="1"/>
    <col min="94" max="94" width="10.5703125" style="75" bestFit="1" customWidth="1"/>
    <col min="95" max="95" width="11.42578125" style="75" bestFit="1" customWidth="1"/>
    <col min="96" max="96" width="10.5703125" style="75" bestFit="1" customWidth="1"/>
    <col min="97" max="97" width="12.42578125" style="75" bestFit="1" customWidth="1"/>
    <col min="98" max="98" width="4.85546875" style="75" bestFit="1" customWidth="1"/>
    <col min="99" max="99" width="8.5703125" style="75"/>
    <col min="100" max="100" width="10.5703125" style="75" bestFit="1" customWidth="1"/>
    <col min="101" max="101" width="9" style="75" bestFit="1" customWidth="1"/>
    <col min="102" max="102" width="9.5703125" style="75" bestFit="1" customWidth="1"/>
    <col min="103" max="103" width="7.5703125" style="75" bestFit="1" customWidth="1"/>
    <col min="104" max="104" width="8.5703125" style="75" bestFit="1" customWidth="1"/>
    <col min="105" max="105" width="11.5703125" style="75" bestFit="1" customWidth="1"/>
    <col min="106" max="106" width="10.42578125" style="75" bestFit="1" customWidth="1"/>
    <col min="107" max="107" width="11.5703125" style="75" bestFit="1" customWidth="1"/>
    <col min="108" max="108" width="12.42578125" style="75" bestFit="1" customWidth="1"/>
    <col min="109" max="109" width="11.5703125" style="75" bestFit="1" customWidth="1"/>
    <col min="110" max="110" width="10.5703125" style="75" bestFit="1" customWidth="1"/>
    <col min="111" max="111" width="11.42578125" style="75" customWidth="1"/>
    <col min="112" max="112" width="10.5703125" style="75" bestFit="1" customWidth="1"/>
    <col min="113" max="113" width="12.42578125" style="75" bestFit="1" customWidth="1"/>
    <col min="114" max="115" width="8.5703125" style="75"/>
    <col min="116" max="117" width="10.5703125" style="75" bestFit="1" customWidth="1"/>
    <col min="118" max="118" width="9.5703125" style="75" bestFit="1" customWidth="1"/>
    <col min="119" max="119" width="7.5703125" style="75" bestFit="1" customWidth="1"/>
    <col min="120" max="120" width="8.5703125" style="75" bestFit="1" customWidth="1"/>
    <col min="121" max="121" width="11.5703125" style="75" bestFit="1" customWidth="1"/>
    <col min="122" max="122" width="10.42578125" style="75" bestFit="1" customWidth="1"/>
    <col min="123" max="123" width="11.5703125" style="75" bestFit="1" customWidth="1"/>
    <col min="124" max="124" width="12.42578125" style="75" bestFit="1" customWidth="1"/>
    <col min="125" max="125" width="11.5703125" style="75" bestFit="1" customWidth="1"/>
    <col min="126" max="126" width="10.5703125" style="75" bestFit="1" customWidth="1"/>
    <col min="127" max="127" width="11.42578125" style="75" bestFit="1" customWidth="1"/>
    <col min="128" max="128" width="10.5703125" style="75" bestFit="1" customWidth="1"/>
    <col min="129" max="129" width="12.42578125" style="75" bestFit="1" customWidth="1"/>
    <col min="130" max="130" width="4.85546875" style="75" bestFit="1" customWidth="1"/>
    <col min="131" max="131" width="8.5703125" style="75"/>
    <col min="132" max="133" width="10.5703125" style="75" bestFit="1" customWidth="1"/>
    <col min="134" max="134" width="9.5703125" style="75" bestFit="1" customWidth="1"/>
    <col min="135" max="135" width="7.5703125" style="75" bestFit="1" customWidth="1"/>
    <col min="136" max="136" width="8.5703125" style="75" bestFit="1" customWidth="1"/>
    <col min="137" max="137" width="11.5703125" style="75" bestFit="1" customWidth="1"/>
    <col min="138" max="138" width="10.42578125" style="75" bestFit="1" customWidth="1"/>
    <col min="139" max="139" width="11.5703125" style="75" bestFit="1" customWidth="1"/>
    <col min="140" max="140" width="12.42578125" style="75" bestFit="1" customWidth="1"/>
    <col min="141" max="141" width="11.5703125" style="75" bestFit="1" customWidth="1"/>
    <col min="142" max="142" width="10.5703125" style="75" bestFit="1" customWidth="1"/>
    <col min="143" max="143" width="11.42578125" style="75" customWidth="1"/>
    <col min="144" max="144" width="10.5703125" style="75" bestFit="1" customWidth="1"/>
    <col min="145" max="145" width="12.42578125" style="75" bestFit="1" customWidth="1"/>
    <col min="146" max="148" width="8.5703125" style="75"/>
    <col min="149" max="149" width="10.5703125" style="75" bestFit="1" customWidth="1"/>
    <col min="150" max="150" width="9.5703125" style="75" bestFit="1" customWidth="1"/>
    <col min="151" max="151" width="8.5703125" style="75"/>
    <col min="152" max="152" width="8.5703125" style="75" bestFit="1" customWidth="1"/>
    <col min="153" max="153" width="11.5703125" style="75" bestFit="1" customWidth="1"/>
    <col min="154" max="154" width="10.42578125" style="75" bestFit="1" customWidth="1"/>
    <col min="155" max="155" width="11.5703125" style="75" bestFit="1" customWidth="1"/>
    <col min="156" max="156" width="12.42578125" style="75" bestFit="1" customWidth="1"/>
    <col min="157" max="157" width="11.5703125" style="75" bestFit="1" customWidth="1"/>
    <col min="158" max="158" width="10.5703125" style="75" bestFit="1" customWidth="1"/>
    <col min="159" max="159" width="11.42578125" style="75" bestFit="1" customWidth="1"/>
    <col min="160" max="160" width="10.5703125" style="75" bestFit="1" customWidth="1"/>
    <col min="161" max="161" width="12.42578125" style="75" bestFit="1" customWidth="1"/>
    <col min="162" max="164" width="8.5703125" style="75"/>
    <col min="165" max="165" width="10.5703125" style="75" bestFit="1" customWidth="1"/>
    <col min="166" max="166" width="9.5703125" style="75" bestFit="1" customWidth="1"/>
    <col min="167" max="168" width="8.5703125" style="75"/>
    <col min="169" max="169" width="11.5703125" style="75" bestFit="1" customWidth="1"/>
    <col min="170" max="170" width="10.42578125" style="75" bestFit="1" customWidth="1"/>
    <col min="171" max="171" width="11.5703125" style="75" bestFit="1" customWidth="1"/>
    <col min="172" max="172" width="12.42578125" style="75" bestFit="1" customWidth="1"/>
    <col min="173" max="173" width="11.5703125" style="75" bestFit="1" customWidth="1"/>
    <col min="174" max="174" width="10.5703125" style="75" bestFit="1" customWidth="1"/>
    <col min="175" max="175" width="11.42578125" style="75" customWidth="1"/>
    <col min="176" max="176" width="10.5703125" style="75" bestFit="1" customWidth="1"/>
    <col min="177" max="177" width="12.42578125" style="75" bestFit="1" customWidth="1"/>
    <col min="178" max="179" width="8.5703125" style="75"/>
    <col min="180" max="180" width="9" style="75" bestFit="1" customWidth="1"/>
    <col min="181" max="181" width="10.5703125" style="75" bestFit="1" customWidth="1"/>
    <col min="182" max="182" width="9.5703125" style="75" bestFit="1" customWidth="1"/>
    <col min="183" max="183" width="7.5703125" style="75" bestFit="1" customWidth="1"/>
    <col min="184" max="184" width="8.5703125" style="75" bestFit="1" customWidth="1"/>
    <col min="185" max="185" width="11.5703125" style="75" bestFit="1" customWidth="1"/>
    <col min="186" max="186" width="10.42578125" style="75" bestFit="1" customWidth="1"/>
    <col min="187" max="187" width="11.5703125" style="75" bestFit="1" customWidth="1"/>
    <col min="188" max="188" width="12.42578125" style="75" bestFit="1" customWidth="1"/>
    <col min="189" max="189" width="11.5703125" style="75" bestFit="1" customWidth="1"/>
    <col min="190" max="190" width="10.5703125" style="75" bestFit="1" customWidth="1"/>
    <col min="191" max="191" width="11.42578125" style="75" bestFit="1" customWidth="1"/>
    <col min="192" max="192" width="10.5703125" style="75" bestFit="1" customWidth="1"/>
    <col min="193" max="193" width="12.42578125" style="75" bestFit="1" customWidth="1"/>
    <col min="194" max="194" width="7.42578125" style="75" customWidth="1"/>
    <col min="195" max="16384" width="8.5703125" style="75"/>
  </cols>
  <sheetData>
    <row r="1" spans="1:15" x14ac:dyDescent="0.25">
      <c r="A1" s="76" t="s">
        <v>368</v>
      </c>
    </row>
    <row r="2" spans="1:15" x14ac:dyDescent="0.25">
      <c r="A2" s="45" t="s">
        <v>369</v>
      </c>
    </row>
    <row r="3" spans="1:15" x14ac:dyDescent="0.25">
      <c r="A3" s="78" t="s">
        <v>370</v>
      </c>
    </row>
    <row r="4" spans="1:15" x14ac:dyDescent="0.25">
      <c r="A4" s="79" t="s">
        <v>379</v>
      </c>
    </row>
    <row r="6" spans="1:15" x14ac:dyDescent="0.25">
      <c r="A6" s="1" t="s">
        <v>132</v>
      </c>
      <c r="B6" s="1"/>
      <c r="C6" s="1"/>
      <c r="D6" s="1"/>
    </row>
    <row r="7" spans="1:15" x14ac:dyDescent="0.25">
      <c r="A7" s="1" t="s">
        <v>262</v>
      </c>
    </row>
    <row r="9" spans="1:15" x14ac:dyDescent="0.25">
      <c r="A9" s="3" t="s">
        <v>391</v>
      </c>
    </row>
    <row r="10" spans="1:15" x14ac:dyDescent="0.25">
      <c r="A10" s="3"/>
      <c r="G10" s="1"/>
    </row>
    <row r="11" spans="1:15" x14ac:dyDescent="0.25">
      <c r="A11" s="3"/>
      <c r="B11" s="4"/>
      <c r="C11" s="1"/>
      <c r="D11" s="1"/>
      <c r="E11" s="82"/>
      <c r="F11" s="4"/>
      <c r="G11" s="82"/>
      <c r="H11" s="82"/>
      <c r="I11" s="82"/>
      <c r="J11" s="82"/>
      <c r="K11" s="82"/>
      <c r="L11" s="82"/>
    </row>
    <row r="12" spans="1:15" x14ac:dyDescent="0.25">
      <c r="B12" s="82"/>
      <c r="C12" s="82"/>
      <c r="D12" s="82"/>
      <c r="E12" s="82"/>
      <c r="F12" s="82"/>
      <c r="G12" s="82"/>
      <c r="H12" s="82"/>
      <c r="I12" s="82"/>
      <c r="J12" s="82"/>
      <c r="K12" s="82"/>
      <c r="L12" s="82"/>
    </row>
    <row r="13" spans="1:15" x14ac:dyDescent="0.25">
      <c r="A13" s="82" t="s">
        <v>3</v>
      </c>
      <c r="B13" s="82"/>
      <c r="C13" s="82" t="s">
        <v>14</v>
      </c>
      <c r="D13" s="82" t="s">
        <v>15</v>
      </c>
      <c r="E13" s="82" t="s">
        <v>16</v>
      </c>
      <c r="F13" s="82" t="s">
        <v>17</v>
      </c>
      <c r="G13" s="82" t="s">
        <v>12</v>
      </c>
      <c r="H13" s="82" t="s">
        <v>23</v>
      </c>
      <c r="I13" s="82" t="s">
        <v>23</v>
      </c>
      <c r="J13" s="82"/>
      <c r="K13" s="82"/>
      <c r="L13" s="82"/>
      <c r="M13" s="82"/>
      <c r="N13" s="82"/>
      <c r="O13" s="82"/>
    </row>
    <row r="14" spans="1:15" x14ac:dyDescent="0.25">
      <c r="A14" s="2" t="s">
        <v>7</v>
      </c>
      <c r="B14" s="2" t="s">
        <v>17</v>
      </c>
      <c r="C14" s="2" t="s">
        <v>24</v>
      </c>
      <c r="D14" s="2" t="s">
        <v>25</v>
      </c>
      <c r="E14" s="2" t="s">
        <v>26</v>
      </c>
      <c r="F14" s="2" t="s">
        <v>27</v>
      </c>
      <c r="G14" s="82" t="s">
        <v>13</v>
      </c>
      <c r="H14" s="82" t="s">
        <v>232</v>
      </c>
      <c r="I14" s="82" t="s">
        <v>13</v>
      </c>
      <c r="J14" s="2"/>
      <c r="K14" s="2"/>
      <c r="L14" s="2"/>
      <c r="M14" s="2"/>
      <c r="N14" s="2"/>
      <c r="O14" s="2"/>
    </row>
    <row r="15" spans="1:15" x14ac:dyDescent="0.25">
      <c r="K15" s="85"/>
    </row>
    <row r="16" spans="1:15" x14ac:dyDescent="0.25">
      <c r="A16" s="75">
        <v>1</v>
      </c>
      <c r="B16" s="85">
        <f>'Tables 26a,b-MasterInputs'!D$14*'Tables 26a,b-MasterInputs'!D$13*'Tables 26a,b-MasterInputs'!$C31</f>
        <v>3500000</v>
      </c>
      <c r="C16" s="84">
        <f>MAX('Tables 26a,b-MasterInputs'!$E31*(G15+B16+D16+E16+F16),0)</f>
        <v>81370.979804878065</v>
      </c>
      <c r="D16" s="84">
        <f>-'Tables 26a,b-MasterInputs'!$K56*('Tables 26a,b-MasterInputs'!D$14*'Tables 26a,b-MasterInputs'!D$13*1000/(1+'Tables 26a,b-MasterInputs'!$E31)-(G15+B16+E16+F16))</f>
        <v>-155160.80780487807</v>
      </c>
      <c r="E16" s="84">
        <f>-'Tables 26a,b-MasterInputs'!$G56*'Tables 26a,b-MasterInputs'!D$13</f>
        <v>-20000</v>
      </c>
      <c r="F16" s="84">
        <f>-'Tables 26a,b-MasterInputs'!$F56*B16</f>
        <v>-70000</v>
      </c>
      <c r="G16" s="85">
        <f>(B16+F16)+C16+D16+E16+G15</f>
        <v>3336210.1720000003</v>
      </c>
      <c r="H16" s="85">
        <f>'Tables 26a,b-MasterInputs'!$D$17*'Tables 26a,b-MasterInputs'!H56</f>
        <v>2000000</v>
      </c>
      <c r="I16" s="85">
        <f>G16-H16</f>
        <v>1336210.1720000003</v>
      </c>
      <c r="J16" s="85"/>
      <c r="K16" s="85"/>
      <c r="L16" s="87"/>
      <c r="M16" s="88"/>
      <c r="N16" s="89"/>
      <c r="O16" s="84"/>
    </row>
    <row r="17" spans="1:21" x14ac:dyDescent="0.25">
      <c r="A17" s="75">
        <v>2</v>
      </c>
      <c r="B17" s="85">
        <f>B16</f>
        <v>3500000</v>
      </c>
      <c r="C17" s="84">
        <f>MAX('Tables 26a,b-MasterInputs'!$E32*(G16+B17+D17+E17+F17),0)</f>
        <v>163510.59783795115</v>
      </c>
      <c r="D17" s="84">
        <f>-'Tables 26a,b-MasterInputs'!$K57*('Tables 26a,b-MasterInputs'!D$14*'Tables 26a,b-MasterInputs'!D$13*1000/(1+'Tables 26a,b-MasterInputs'!$E32)-(G16+B17+E17+F17))</f>
        <v>-205786.25848195536</v>
      </c>
      <c r="E17" s="84">
        <f>-'Tables 26a,b-MasterInputs'!$G57*'Tables 26a,b-MasterInputs'!D$13</f>
        <v>-20000</v>
      </c>
      <c r="F17" s="84">
        <f>-'Tables 26a,b-MasterInputs'!$F57*B17</f>
        <v>-70000</v>
      </c>
      <c r="G17" s="85">
        <f>(B17+F17)+C17+D17+E17+G16</f>
        <v>6703934.5113559961</v>
      </c>
      <c r="H17" s="85">
        <f>'Tables 26a,b-MasterInputs'!$D$17*'Tables 26a,b-MasterInputs'!H57</f>
        <v>1800000</v>
      </c>
      <c r="I17" s="85">
        <f t="shared" ref="I17:I18" si="0">G17-H17</f>
        <v>4903934.5113559961</v>
      </c>
      <c r="J17" s="85"/>
      <c r="K17" s="85"/>
      <c r="L17" s="87"/>
      <c r="M17" s="88"/>
      <c r="N17" s="89"/>
      <c r="O17" s="84"/>
      <c r="P17" s="88"/>
    </row>
    <row r="18" spans="1:21" x14ac:dyDescent="0.25">
      <c r="A18" s="75">
        <v>3</v>
      </c>
      <c r="B18" s="85">
        <f>B17</f>
        <v>3500000</v>
      </c>
      <c r="C18" s="84">
        <f>MAX('Tables 26a,b-MasterInputs'!$E33*(G17+B18+D18+E18+F18),0)</f>
        <v>246408.32544220821</v>
      </c>
      <c r="D18" s="84">
        <f>-'Tables 26a,b-MasterInputs'!$K58*('Tables 26a,b-MasterInputs'!D$14*'Tables 26a,b-MasterInputs'!D$13*1000/(1+'Tables 26a,b-MasterInputs'!$E33)-(G17+B18+E18+F18))</f>
        <v>-257601.49366766706</v>
      </c>
      <c r="E18" s="84">
        <f>-'Tables 26a,b-MasterInputs'!$G58*'Tables 26a,b-MasterInputs'!D$13</f>
        <v>-20000</v>
      </c>
      <c r="F18" s="84">
        <f>-'Tables 26a,b-MasterInputs'!$F58*B18</f>
        <v>-70000</v>
      </c>
      <c r="G18" s="85">
        <f t="shared" ref="G18" si="1">(B18+F18)+C18+D18+E18+G17</f>
        <v>10102741.343130536</v>
      </c>
      <c r="H18" s="85">
        <f>'Tables 26a,b-MasterInputs'!$D$17*'Tables 26a,b-MasterInputs'!H58</f>
        <v>1600000</v>
      </c>
      <c r="I18" s="85">
        <f t="shared" si="0"/>
        <v>8502741.3431305364</v>
      </c>
      <c r="J18" s="85"/>
      <c r="K18" s="85"/>
      <c r="L18" s="87"/>
      <c r="M18" s="88"/>
      <c r="N18" s="89"/>
      <c r="O18" s="84"/>
      <c r="P18" s="88"/>
      <c r="Q18" s="88"/>
      <c r="R18" s="88"/>
      <c r="S18" s="85"/>
      <c r="T18" s="85"/>
      <c r="U18" s="85"/>
    </row>
    <row r="19" spans="1:21" x14ac:dyDescent="0.25">
      <c r="A19" s="75">
        <v>4</v>
      </c>
      <c r="B19" s="85">
        <f>B18</f>
        <v>3500000</v>
      </c>
      <c r="C19" s="84">
        <f>MAX('Tables 26a,b-MasterInputs'!$E34*(G18+B19+D19+E19+F19),0)</f>
        <v>330416.82582757302</v>
      </c>
      <c r="D19" s="84">
        <f>-'Tables 26a,b-MasterInputs'!$K59*('Tables 26a,b-MasterInputs'!D$14*'Tables 26a,b-MasterInputs'!D$13*1000/(1+'Tables 26a,b-MasterInputs'!$E34)-(G18+B19+E19+F19))</f>
        <v>-296068.31002761528</v>
      </c>
      <c r="E19" s="84">
        <f>-'Tables 26a,b-MasterInputs'!$G59*'Tables 26a,b-MasterInputs'!D$13</f>
        <v>-20000</v>
      </c>
      <c r="F19" s="84">
        <f>-'Tables 26a,b-MasterInputs'!$F59*B19</f>
        <v>-70000</v>
      </c>
      <c r="G19" s="85">
        <f t="shared" ref="G19" si="2">(B19+F19)+C19+D19+E19+G18</f>
        <v>13547089.858930495</v>
      </c>
      <c r="H19" s="85">
        <f>'Tables 26a,b-MasterInputs'!$D$17*'Tables 26a,b-MasterInputs'!H59</f>
        <v>1400000</v>
      </c>
      <c r="I19" s="85">
        <f t="shared" ref="I19" si="3">G19-H19</f>
        <v>12147089.858930495</v>
      </c>
      <c r="J19" s="85"/>
      <c r="K19" s="85"/>
      <c r="L19" s="87"/>
      <c r="M19" s="88"/>
      <c r="N19" s="89"/>
      <c r="O19" s="84"/>
      <c r="P19" s="88"/>
      <c r="Q19" s="88"/>
      <c r="R19" s="88"/>
      <c r="S19" s="85"/>
      <c r="T19" s="85"/>
      <c r="U19" s="85"/>
    </row>
    <row r="20" spans="1:21" x14ac:dyDescent="0.25">
      <c r="A20" s="75">
        <v>5</v>
      </c>
      <c r="B20" s="85">
        <f t="shared" ref="B20:B35" si="4">B19</f>
        <v>3500000</v>
      </c>
      <c r="C20" s="84">
        <f>MAX('Tables 26a,b-MasterInputs'!$E35*(G19+B20+D20+E20+F20),0)</f>
        <v>415874.11224789737</v>
      </c>
      <c r="D20" s="84">
        <f>-'Tables 26a,b-MasterInputs'!$K60*('Tables 26a,b-MasterInputs'!D$14*'Tables 26a,b-MasterInputs'!D$13*1000/(1+'Tables 26a,b-MasterInputs'!$E35)-(G19+B20+E20+F20))</f>
        <v>-322125.36901459954</v>
      </c>
      <c r="E20" s="84">
        <f>-'Tables 26a,b-MasterInputs'!$G60*'Tables 26a,b-MasterInputs'!D$13</f>
        <v>-20000</v>
      </c>
      <c r="F20" s="84">
        <f>-'Tables 26a,b-MasterInputs'!$F60*B20</f>
        <v>-70000</v>
      </c>
      <c r="G20" s="85">
        <f t="shared" ref="G20:G35" si="5">(B20+F20)+C20+D20+E20+G19</f>
        <v>17050838.602163792</v>
      </c>
      <c r="H20" s="85">
        <f>'Tables 26a,b-MasterInputs'!$D$17*'Tables 26a,b-MasterInputs'!H60</f>
        <v>1200000</v>
      </c>
      <c r="I20" s="85">
        <f t="shared" ref="I20:I35" si="6">G20-H20</f>
        <v>15850838.602163792</v>
      </c>
      <c r="J20" s="85"/>
      <c r="K20" s="85"/>
      <c r="L20" s="87"/>
      <c r="M20" s="88"/>
      <c r="N20" s="89"/>
      <c r="O20" s="84"/>
      <c r="P20" s="88"/>
      <c r="Q20" s="88"/>
      <c r="R20" s="88"/>
      <c r="S20" s="85"/>
      <c r="T20" s="85"/>
      <c r="U20" s="85"/>
    </row>
    <row r="21" spans="1:21" x14ac:dyDescent="0.25">
      <c r="A21" s="75">
        <v>6</v>
      </c>
      <c r="B21" s="85">
        <f t="shared" si="4"/>
        <v>3500000</v>
      </c>
      <c r="C21" s="84">
        <f>MAX('Tables 26a,b-MasterInputs'!$E36*(G20+B21+D21+E21+F21),0)</f>
        <v>503587.5922564246</v>
      </c>
      <c r="D21" s="84">
        <f>-'Tables 26a,b-MasterInputs'!$K61*('Tables 26a,b-MasterInputs'!D$14*'Tables 26a,b-MasterInputs'!D$13*1000/(1+'Tables 26a,b-MasterInputs'!$E36)-(G20+B21+E21+F21))</f>
        <v>-317334.91190680914</v>
      </c>
      <c r="E21" s="84">
        <f>-'Tables 26a,b-MasterInputs'!$G61*'Tables 26a,b-MasterInputs'!D$13</f>
        <v>-20000</v>
      </c>
      <c r="F21" s="84">
        <f>-'Tables 26a,b-MasterInputs'!$F61*B21</f>
        <v>-70000</v>
      </c>
      <c r="G21" s="85">
        <f t="shared" si="5"/>
        <v>20647091.282513406</v>
      </c>
      <c r="H21" s="85">
        <f>'Tables 26a,b-MasterInputs'!$D$17*'Tables 26a,b-MasterInputs'!H61</f>
        <v>1000000</v>
      </c>
      <c r="I21" s="85">
        <f t="shared" si="6"/>
        <v>19647091.282513406</v>
      </c>
      <c r="J21" s="85"/>
      <c r="K21" s="85"/>
      <c r="L21" s="87"/>
      <c r="M21" s="88"/>
      <c r="N21" s="89"/>
      <c r="O21" s="84"/>
      <c r="P21" s="88"/>
      <c r="Q21" s="88"/>
      <c r="R21" s="88"/>
      <c r="S21" s="85"/>
      <c r="T21" s="85"/>
      <c r="U21" s="85"/>
    </row>
    <row r="22" spans="1:21" x14ac:dyDescent="0.25">
      <c r="A22" s="75">
        <v>7</v>
      </c>
      <c r="B22" s="85">
        <f t="shared" si="4"/>
        <v>3500000</v>
      </c>
      <c r="C22" s="84">
        <f>MAX('Tables 26a,b-MasterInputs'!$E37*(G21+B22+D22+E22+F22),0)</f>
        <v>593765.53117610072</v>
      </c>
      <c r="D22" s="84">
        <f>-'Tables 26a,b-MasterInputs'!$K62*('Tables 26a,b-MasterInputs'!D$14*'Tables 26a,b-MasterInputs'!D$13*1000/(1+'Tables 26a,b-MasterInputs'!$E37)-(G21+B22+E22+F22))</f>
        <v>-306470.03546937887</v>
      </c>
      <c r="E22" s="84">
        <f>-'Tables 26a,b-MasterInputs'!$G62*'Tables 26a,b-MasterInputs'!D$13</f>
        <v>-20000</v>
      </c>
      <c r="F22" s="84">
        <f>-'Tables 26a,b-MasterInputs'!$F62*B22</f>
        <v>-70000</v>
      </c>
      <c r="G22" s="85">
        <f t="shared" si="5"/>
        <v>24344386.778220128</v>
      </c>
      <c r="H22" s="85">
        <f>'Tables 26a,b-MasterInputs'!$D$17*'Tables 26a,b-MasterInputs'!H62</f>
        <v>800000</v>
      </c>
      <c r="I22" s="85">
        <f t="shared" si="6"/>
        <v>23544386.778220128</v>
      </c>
      <c r="J22" s="85"/>
      <c r="K22" s="85"/>
      <c r="L22" s="87"/>
      <c r="M22" s="88"/>
      <c r="N22" s="89"/>
      <c r="O22" s="84"/>
      <c r="P22" s="88"/>
      <c r="Q22" s="88"/>
      <c r="R22" s="88"/>
      <c r="S22" s="85"/>
      <c r="T22" s="85"/>
      <c r="U22" s="85"/>
    </row>
    <row r="23" spans="1:21" x14ac:dyDescent="0.25">
      <c r="A23" s="75">
        <v>8</v>
      </c>
      <c r="B23" s="85">
        <f t="shared" si="4"/>
        <v>3500000</v>
      </c>
      <c r="C23" s="84">
        <f>MAX('Tables 26a,b-MasterInputs'!$E38*(G22+B23+D23+E23+F23),0)</f>
        <v>686737.89655302675</v>
      </c>
      <c r="D23" s="84">
        <f>-'Tables 26a,b-MasterInputs'!$K63*('Tables 26a,b-MasterInputs'!D$14*'Tables 26a,b-MasterInputs'!D$13*1000/(1+'Tables 26a,b-MasterInputs'!$E38)-(G22+B23+E23+F23))</f>
        <v>-284870.91609906196</v>
      </c>
      <c r="E23" s="84">
        <f>-'Tables 26a,b-MasterInputs'!$G63*'Tables 26a,b-MasterInputs'!D$13</f>
        <v>-20000</v>
      </c>
      <c r="F23" s="84">
        <f>-'Tables 26a,b-MasterInputs'!$F63*B23</f>
        <v>-70000</v>
      </c>
      <c r="G23" s="85">
        <f t="shared" si="5"/>
        <v>28156253.758674093</v>
      </c>
      <c r="H23" s="85">
        <f>'Tables 26a,b-MasterInputs'!$D$17*'Tables 26a,b-MasterInputs'!H63</f>
        <v>600000</v>
      </c>
      <c r="I23" s="85">
        <f t="shared" si="6"/>
        <v>27556253.758674093</v>
      </c>
      <c r="J23" s="85"/>
      <c r="K23" s="85"/>
      <c r="L23" s="87"/>
      <c r="M23" s="88"/>
      <c r="N23" s="89"/>
      <c r="O23" s="84"/>
      <c r="P23" s="88"/>
      <c r="Q23" s="88"/>
      <c r="R23" s="88"/>
      <c r="S23" s="85"/>
      <c r="T23" s="85"/>
      <c r="U23" s="85"/>
    </row>
    <row r="24" spans="1:21" x14ac:dyDescent="0.25">
      <c r="A24" s="75">
        <v>9</v>
      </c>
      <c r="B24" s="85">
        <f t="shared" si="4"/>
        <v>3500000</v>
      </c>
      <c r="C24" s="84">
        <f>MAX('Tables 26a,b-MasterInputs'!$E39*(G23+B24+D24+E24+F24),0)</f>
        <v>782814.3171916852</v>
      </c>
      <c r="D24" s="84">
        <f>-'Tables 26a,b-MasterInputs'!$K64*('Tables 26a,b-MasterInputs'!D$14*'Tables 26a,b-MasterInputs'!D$13*1000/(1+'Tables 26a,b-MasterInputs'!$E39)-(G23+B24+E24+F24))</f>
        <v>-253681.0710066852</v>
      </c>
      <c r="E24" s="84">
        <f>-'Tables 26a,b-MasterInputs'!$G64*'Tables 26a,b-MasterInputs'!D$13</f>
        <v>-20000</v>
      </c>
      <c r="F24" s="84">
        <f>-'Tables 26a,b-MasterInputs'!$F64*B24</f>
        <v>-70000</v>
      </c>
      <c r="G24" s="85">
        <f t="shared" si="5"/>
        <v>32095387.004859094</v>
      </c>
      <c r="H24" s="85">
        <f>'Tables 26a,b-MasterInputs'!$D$17*'Tables 26a,b-MasterInputs'!H64</f>
        <v>400000</v>
      </c>
      <c r="I24" s="85">
        <f t="shared" si="6"/>
        <v>31695387.004859094</v>
      </c>
      <c r="J24" s="85"/>
      <c r="K24" s="85"/>
      <c r="L24" s="87"/>
      <c r="M24" s="88"/>
      <c r="N24" s="89"/>
      <c r="O24" s="84"/>
      <c r="P24" s="88"/>
      <c r="Q24" s="88"/>
      <c r="R24" s="88"/>
      <c r="S24" s="85"/>
      <c r="T24" s="85"/>
      <c r="U24" s="85"/>
    </row>
    <row r="25" spans="1:21" x14ac:dyDescent="0.25">
      <c r="A25" s="75">
        <v>10</v>
      </c>
      <c r="B25" s="85">
        <f t="shared" si="4"/>
        <v>3500000</v>
      </c>
      <c r="C25" s="84">
        <f>MAX('Tables 26a,b-MasterInputs'!$E40*(G24+B25+D25+E25+F25),0)</f>
        <v>882121.81176878978</v>
      </c>
      <c r="D25" s="84">
        <f>-'Tables 26a,b-MasterInputs'!$K65*('Tables 26a,b-MasterInputs'!D$14*'Tables 26a,b-MasterInputs'!D$13*1000/(1+'Tables 26a,b-MasterInputs'!$E40)-(G24+B25+E25+F25))</f>
        <v>-220514.53410750159</v>
      </c>
      <c r="E25" s="84">
        <f>-'Tables 26a,b-MasterInputs'!$G65*'Tables 26a,b-MasterInputs'!D$13</f>
        <v>-20000</v>
      </c>
      <c r="F25" s="84">
        <f>-'Tables 26a,b-MasterInputs'!$F65*B25</f>
        <v>-70000</v>
      </c>
      <c r="G25" s="85">
        <f t="shared" si="5"/>
        <v>36166994.282520384</v>
      </c>
      <c r="H25" s="85">
        <f>'Tables 26a,b-MasterInputs'!$D$17*'Tables 26a,b-MasterInputs'!H65</f>
        <v>200000</v>
      </c>
      <c r="I25" s="85">
        <f t="shared" si="6"/>
        <v>35966994.282520384</v>
      </c>
      <c r="J25" s="85"/>
      <c r="K25" s="85"/>
      <c r="L25" s="87"/>
      <c r="M25" s="88"/>
      <c r="N25" s="89"/>
      <c r="O25" s="84"/>
      <c r="P25" s="88"/>
      <c r="Q25" s="88"/>
      <c r="R25" s="88"/>
      <c r="S25" s="85"/>
      <c r="T25" s="85"/>
      <c r="U25" s="85"/>
    </row>
    <row r="26" spans="1:21" x14ac:dyDescent="0.25">
      <c r="A26" s="75">
        <v>11</v>
      </c>
      <c r="B26" s="85">
        <f t="shared" si="4"/>
        <v>3500000</v>
      </c>
      <c r="C26" s="84">
        <f>MAX('Tables 26a,b-MasterInputs'!$E41*(G25+B26+D26+E26+F26),0)</f>
        <v>984170.68208302825</v>
      </c>
      <c r="D26" s="84">
        <f>-'Tables 26a,b-MasterInputs'!$K66*('Tables 26a,b-MasterInputs'!D$14*'Tables 26a,b-MasterInputs'!D$13*1000/(1+'Tables 26a,b-MasterInputs'!$E41)-(G25+B26+E26+F26))</f>
        <v>-210166.99919925883</v>
      </c>
      <c r="E26" s="84">
        <f>-'Tables 26a,b-MasterInputs'!$G66*'Tables 26a,b-MasterInputs'!D$13</f>
        <v>-20000</v>
      </c>
      <c r="F26" s="84">
        <f>-'Tables 26a,b-MasterInputs'!$F66*B26</f>
        <v>-70000</v>
      </c>
      <c r="G26" s="85">
        <f t="shared" si="5"/>
        <v>40350997.965404153</v>
      </c>
      <c r="H26" s="85">
        <f>'Tables 26a,b-MasterInputs'!$D$17*'Tables 26a,b-MasterInputs'!H66</f>
        <v>0</v>
      </c>
      <c r="I26" s="85">
        <f t="shared" si="6"/>
        <v>40350997.965404153</v>
      </c>
      <c r="J26" s="85"/>
      <c r="K26" s="85"/>
      <c r="L26" s="87"/>
      <c r="M26" s="88"/>
      <c r="N26" s="89"/>
      <c r="O26" s="84"/>
      <c r="P26" s="88"/>
      <c r="Q26" s="88"/>
      <c r="R26" s="88"/>
      <c r="S26" s="85"/>
      <c r="T26" s="85"/>
      <c r="U26" s="85"/>
    </row>
    <row r="27" spans="1:21" x14ac:dyDescent="0.25">
      <c r="A27" s="75">
        <v>12</v>
      </c>
      <c r="B27" s="85">
        <f t="shared" si="4"/>
        <v>3500000</v>
      </c>
      <c r="C27" s="84">
        <f>MAX('Tables 26a,b-MasterInputs'!$E42*(G26+B27+D27+E27+F27),0)</f>
        <v>1088302.0706631467</v>
      </c>
      <c r="D27" s="84">
        <f>-'Tables 26a,b-MasterInputs'!$K67*('Tables 26a,b-MasterInputs'!D$14*'Tables 26a,b-MasterInputs'!D$13*1000/(1+'Tables 26a,b-MasterInputs'!$E42)-(G26+B27+E27+F27))</f>
        <v>-228915.13887828251</v>
      </c>
      <c r="E27" s="84">
        <f>-'Tables 26a,b-MasterInputs'!$G67*'Tables 26a,b-MasterInputs'!D$13</f>
        <v>-20000</v>
      </c>
      <c r="F27" s="84">
        <f>-'Tables 26a,b-MasterInputs'!$F67*B27</f>
        <v>-70000</v>
      </c>
      <c r="G27" s="85">
        <f t="shared" si="5"/>
        <v>44620384.897189021</v>
      </c>
      <c r="H27" s="85">
        <f>'Tables 26a,b-MasterInputs'!$D$17*'Tables 26a,b-MasterInputs'!H67</f>
        <v>0</v>
      </c>
      <c r="I27" s="85">
        <f t="shared" si="6"/>
        <v>44620384.897189021</v>
      </c>
      <c r="J27" s="85"/>
      <c r="K27" s="85"/>
      <c r="L27" s="87"/>
      <c r="M27" s="88"/>
      <c r="N27" s="89"/>
      <c r="O27" s="84"/>
      <c r="P27" s="88"/>
      <c r="Q27" s="88"/>
      <c r="R27" s="88"/>
      <c r="S27" s="85"/>
      <c r="T27" s="85"/>
      <c r="U27" s="85"/>
    </row>
    <row r="28" spans="1:21" x14ac:dyDescent="0.25">
      <c r="A28" s="75">
        <v>13</v>
      </c>
      <c r="B28" s="85">
        <f t="shared" si="4"/>
        <v>3500000</v>
      </c>
      <c r="C28" s="84">
        <f>MAX('Tables 26a,b-MasterInputs'!$E43*(G27+B28+D28+E28+F28),0)</f>
        <v>1194584.0740837965</v>
      </c>
      <c r="D28" s="84">
        <f>-'Tables 26a,b-MasterInputs'!$K68*('Tables 26a,b-MasterInputs'!D$14*'Tables 26a,b-MasterInputs'!D$13*1000/(1+'Tables 26a,b-MasterInputs'!$E43)-(G27+B28+E28+F28))</f>
        <v>-247021.93383715735</v>
      </c>
      <c r="E28" s="84">
        <f>-'Tables 26a,b-MasterInputs'!$G68*'Tables 26a,b-MasterInputs'!D$13</f>
        <v>-20000</v>
      </c>
      <c r="F28" s="84">
        <f>-'Tables 26a,b-MasterInputs'!$F68*B28</f>
        <v>-70000</v>
      </c>
      <c r="G28" s="85">
        <f t="shared" si="5"/>
        <v>48977947.037435658</v>
      </c>
      <c r="H28" s="85">
        <f>'Tables 26a,b-MasterInputs'!$D$17*'Tables 26a,b-MasterInputs'!H68</f>
        <v>0</v>
      </c>
      <c r="I28" s="85">
        <f t="shared" si="6"/>
        <v>48977947.037435658</v>
      </c>
      <c r="J28" s="85"/>
      <c r="K28" s="85"/>
      <c r="L28" s="87"/>
      <c r="M28" s="88"/>
      <c r="N28" s="89"/>
      <c r="O28" s="84"/>
      <c r="P28" s="88"/>
      <c r="Q28" s="88"/>
      <c r="R28" s="88"/>
      <c r="S28" s="85"/>
      <c r="T28" s="85"/>
      <c r="U28" s="85"/>
    </row>
    <row r="29" spans="1:21" x14ac:dyDescent="0.25">
      <c r="A29" s="75">
        <v>14</v>
      </c>
      <c r="B29" s="85">
        <f t="shared" si="4"/>
        <v>3500000</v>
      </c>
      <c r="C29" s="84">
        <f>MAX('Tables 26a,b-MasterInputs'!$E44*(G28+B29+D29+E29+F29),0)</f>
        <v>1303249.8647229644</v>
      </c>
      <c r="D29" s="84">
        <f>-'Tables 26a,b-MasterInputs'!$K69*('Tables 26a,b-MasterInputs'!D$14*'Tables 26a,b-MasterInputs'!D$13*1000/(1+'Tables 26a,b-MasterInputs'!$E44)-(G28+B29+E29+F29))</f>
        <v>-257952.44851709291</v>
      </c>
      <c r="E29" s="84">
        <f>-'Tables 26a,b-MasterInputs'!$G69*'Tables 26a,b-MasterInputs'!D$13</f>
        <v>-20000</v>
      </c>
      <c r="F29" s="84">
        <f>-'Tables 26a,b-MasterInputs'!$F69*B29</f>
        <v>-70000</v>
      </c>
      <c r="G29" s="85">
        <f t="shared" si="5"/>
        <v>53433244.453641534</v>
      </c>
      <c r="H29" s="85">
        <f>'Tables 26a,b-MasterInputs'!$D$17*'Tables 26a,b-MasterInputs'!H69</f>
        <v>0</v>
      </c>
      <c r="I29" s="85">
        <f t="shared" si="6"/>
        <v>53433244.453641534</v>
      </c>
      <c r="J29" s="85"/>
      <c r="K29" s="85"/>
      <c r="L29" s="87"/>
      <c r="M29" s="88"/>
      <c r="N29" s="89"/>
      <c r="O29" s="84"/>
      <c r="P29" s="88"/>
      <c r="Q29" s="88"/>
      <c r="R29" s="88"/>
      <c r="S29" s="85"/>
      <c r="T29" s="85"/>
      <c r="U29" s="85"/>
    </row>
    <row r="30" spans="1:21" x14ac:dyDescent="0.25">
      <c r="A30" s="75">
        <v>15</v>
      </c>
      <c r="B30" s="85">
        <f t="shared" si="4"/>
        <v>3500000</v>
      </c>
      <c r="C30" s="84">
        <f>MAX('Tables 26a,b-MasterInputs'!$E45*(G29+B30+D30+E30+F30),0)</f>
        <v>1414541.7317436058</v>
      </c>
      <c r="D30" s="84">
        <f>-'Tables 26a,b-MasterInputs'!$K70*('Tables 26a,b-MasterInputs'!D$14*'Tables 26a,b-MasterInputs'!D$13*1000/(1+'Tables 26a,b-MasterInputs'!$E45)-(G29+B30+E30+F30))</f>
        <v>-261575.18389730723</v>
      </c>
      <c r="E30" s="84">
        <f>-'Tables 26a,b-MasterInputs'!$G70*'Tables 26a,b-MasterInputs'!D$13</f>
        <v>-20000</v>
      </c>
      <c r="F30" s="84">
        <f>-'Tables 26a,b-MasterInputs'!$F70*B30</f>
        <v>-70000</v>
      </c>
      <c r="G30" s="85">
        <f t="shared" si="5"/>
        <v>57996211.001487836</v>
      </c>
      <c r="H30" s="85">
        <f>'Tables 26a,b-MasterInputs'!$D$17*'Tables 26a,b-MasterInputs'!H70</f>
        <v>0</v>
      </c>
      <c r="I30" s="85">
        <f t="shared" si="6"/>
        <v>57996211.001487836</v>
      </c>
      <c r="J30" s="85"/>
      <c r="K30" s="85"/>
      <c r="L30" s="87"/>
      <c r="M30" s="88"/>
      <c r="N30" s="89"/>
      <c r="O30" s="84"/>
      <c r="P30" s="88"/>
      <c r="Q30" s="88"/>
      <c r="R30" s="88"/>
      <c r="S30" s="85"/>
      <c r="T30" s="85"/>
      <c r="U30" s="85"/>
    </row>
    <row r="31" spans="1:21" x14ac:dyDescent="0.25">
      <c r="A31" s="75">
        <v>16</v>
      </c>
      <c r="B31" s="85">
        <f t="shared" si="4"/>
        <v>3500000</v>
      </c>
      <c r="C31" s="84">
        <f>MAX('Tables 26a,b-MasterInputs'!$E46*(G30+B31+D31+E31+F31),0)</f>
        <v>1528644.8956128762</v>
      </c>
      <c r="D31" s="84">
        <f>-'Tables 26a,b-MasterInputs'!$K71*('Tables 26a,b-MasterInputs'!D$14*'Tables 26a,b-MasterInputs'!D$13*1000/(1+'Tables 26a,b-MasterInputs'!$E46)-(G30+B31+E31+F31))</f>
        <v>-260415.17697278867</v>
      </c>
      <c r="E31" s="84">
        <f>-'Tables 26a,b-MasterInputs'!$G71*'Tables 26a,b-MasterInputs'!D$13</f>
        <v>-20000</v>
      </c>
      <c r="F31" s="84">
        <f>-'Tables 26a,b-MasterInputs'!$F71*B31</f>
        <v>-70000</v>
      </c>
      <c r="G31" s="85">
        <f t="shared" si="5"/>
        <v>62674440.720127925</v>
      </c>
      <c r="H31" s="85">
        <f>'Tables 26a,b-MasterInputs'!$D$17*'Tables 26a,b-MasterInputs'!H71</f>
        <v>0</v>
      </c>
      <c r="I31" s="85">
        <f t="shared" si="6"/>
        <v>62674440.720127925</v>
      </c>
      <c r="J31" s="85"/>
      <c r="K31" s="85"/>
      <c r="L31" s="87"/>
      <c r="M31" s="88"/>
      <c r="N31" s="89"/>
      <c r="O31" s="84"/>
      <c r="P31" s="88"/>
      <c r="Q31" s="88"/>
      <c r="R31" s="88"/>
      <c r="S31" s="85"/>
      <c r="T31" s="85"/>
      <c r="U31" s="85"/>
    </row>
    <row r="32" spans="1:21" x14ac:dyDescent="0.25">
      <c r="A32" s="75">
        <v>17</v>
      </c>
      <c r="B32" s="85">
        <f t="shared" si="4"/>
        <v>3500000</v>
      </c>
      <c r="C32" s="84">
        <f>MAX('Tables 26a,b-MasterInputs'!$E47*(G31+B32+D32+E32+F32),0)</f>
        <v>1645925.1234605489</v>
      </c>
      <c r="D32" s="84">
        <f>-'Tables 26a,b-MasterInputs'!$K72*('Tables 26a,b-MasterInputs'!D$14*'Tables 26a,b-MasterInputs'!D$13*1000/(1+'Tables 26a,b-MasterInputs'!$E47)-(G31+B32+E32+F32))</f>
        <v>-247435.7817059716</v>
      </c>
      <c r="E32" s="84">
        <f>-'Tables 26a,b-MasterInputs'!$G72*'Tables 26a,b-MasterInputs'!D$13</f>
        <v>-20000</v>
      </c>
      <c r="F32" s="84">
        <f>-'Tables 26a,b-MasterInputs'!$F72*B32</f>
        <v>-70000</v>
      </c>
      <c r="G32" s="85">
        <f t="shared" si="5"/>
        <v>67482930.061882496</v>
      </c>
      <c r="H32" s="85">
        <f>'Tables 26a,b-MasterInputs'!$D$17*'Tables 26a,b-MasterInputs'!H72</f>
        <v>0</v>
      </c>
      <c r="I32" s="85">
        <f t="shared" si="6"/>
        <v>67482930.061882496</v>
      </c>
      <c r="J32" s="85"/>
      <c r="K32" s="85"/>
      <c r="L32" s="87"/>
      <c r="M32" s="88"/>
      <c r="N32" s="89"/>
      <c r="O32" s="84"/>
      <c r="P32" s="88"/>
      <c r="Q32" s="88"/>
      <c r="R32" s="88"/>
      <c r="S32" s="85"/>
      <c r="T32" s="85"/>
      <c r="U32" s="85"/>
    </row>
    <row r="33" spans="1:21" x14ac:dyDescent="0.25">
      <c r="A33" s="75">
        <v>18</v>
      </c>
      <c r="B33" s="85">
        <f t="shared" si="4"/>
        <v>3500000</v>
      </c>
      <c r="C33" s="84">
        <f>MAX('Tables 26a,b-MasterInputs'!$E48*(G32+B33+D33+E33+F33),0)</f>
        <v>1766575.554360243</v>
      </c>
      <c r="D33" s="84">
        <f>-'Tables 26a,b-MasterInputs'!$K73*('Tables 26a,b-MasterInputs'!D$14*'Tables 26a,b-MasterInputs'!D$13*1000/(1+'Tables 26a,b-MasterInputs'!$E48)-(G32+B33+E33+F33))</f>
        <v>-229907.88747277323</v>
      </c>
      <c r="E33" s="84">
        <f>-'Tables 26a,b-MasterInputs'!$G73*'Tables 26a,b-MasterInputs'!D$13</f>
        <v>-20000</v>
      </c>
      <c r="F33" s="84">
        <f>-'Tables 26a,b-MasterInputs'!$F73*B33</f>
        <v>-70000</v>
      </c>
      <c r="G33" s="85">
        <f t="shared" si="5"/>
        <v>72429597.728769958</v>
      </c>
      <c r="H33" s="85">
        <f>'Tables 26a,b-MasterInputs'!$D$17*'Tables 26a,b-MasterInputs'!H73</f>
        <v>0</v>
      </c>
      <c r="I33" s="85">
        <f t="shared" si="6"/>
        <v>72429597.728769958</v>
      </c>
      <c r="J33" s="85"/>
      <c r="K33" s="85"/>
      <c r="L33" s="87"/>
      <c r="M33" s="88"/>
      <c r="N33" s="89"/>
      <c r="O33" s="84"/>
      <c r="P33" s="88"/>
      <c r="Q33" s="88"/>
      <c r="R33" s="88"/>
      <c r="S33" s="85"/>
      <c r="T33" s="85"/>
      <c r="U33" s="85"/>
    </row>
    <row r="34" spans="1:21" x14ac:dyDescent="0.25">
      <c r="A34" s="75">
        <v>19</v>
      </c>
      <c r="B34" s="85">
        <f t="shared" si="4"/>
        <v>3500000</v>
      </c>
      <c r="C34" s="84">
        <f>MAX('Tables 26a,b-MasterInputs'!$E49*(G33+B34+D34+E34+F34),0)</f>
        <v>1890845.2674502041</v>
      </c>
      <c r="D34" s="84">
        <f>-'Tables 26a,b-MasterInputs'!$K74*('Tables 26a,b-MasterInputs'!D$14*'Tables 26a,b-MasterInputs'!D$13*1000/(1+'Tables 26a,b-MasterInputs'!$E49)-(G33+B34+E34+F34))</f>
        <v>-205787.03076178997</v>
      </c>
      <c r="E34" s="84">
        <f>-'Tables 26a,b-MasterInputs'!$G74*'Tables 26a,b-MasterInputs'!D$13</f>
        <v>-20000</v>
      </c>
      <c r="F34" s="84">
        <f>-'Tables 26a,b-MasterInputs'!$F74*B34</f>
        <v>-70000</v>
      </c>
      <c r="G34" s="85">
        <f t="shared" si="5"/>
        <v>77524655.965458378</v>
      </c>
      <c r="H34" s="85">
        <f>'Tables 26a,b-MasterInputs'!$D$17*'Tables 26a,b-MasterInputs'!H74</f>
        <v>0</v>
      </c>
      <c r="I34" s="85">
        <f t="shared" si="6"/>
        <v>77524655.965458378</v>
      </c>
      <c r="J34" s="85"/>
      <c r="K34" s="85"/>
      <c r="L34" s="87"/>
      <c r="M34" s="88"/>
      <c r="N34" s="89"/>
      <c r="O34" s="84"/>
      <c r="P34" s="88"/>
      <c r="Q34" s="88"/>
      <c r="R34" s="88"/>
      <c r="S34" s="85"/>
      <c r="T34" s="85"/>
      <c r="U34" s="85"/>
    </row>
    <row r="35" spans="1:21" x14ac:dyDescent="0.25">
      <c r="A35" s="75">
        <v>20</v>
      </c>
      <c r="B35" s="85">
        <f t="shared" si="4"/>
        <v>3500000</v>
      </c>
      <c r="C35" s="84">
        <f>MAX('Tables 26a,b-MasterInputs'!$E50*(G34+B35+D35+E35+F35),0)</f>
        <v>2019031.6058616978</v>
      </c>
      <c r="D35" s="84">
        <f>-'Tables 26a,b-MasterInputs'!$K75*('Tables 26a,b-MasterInputs'!D$14*'Tables 26a,b-MasterInputs'!D$13*1000/(1+'Tables 26a,b-MasterInputs'!$E50)-(G34+B35+E35+F35))</f>
        <v>-173391.73099047001</v>
      </c>
      <c r="E35" s="84">
        <f>-'Tables 26a,b-MasterInputs'!$G75*'Tables 26a,b-MasterInputs'!D$13</f>
        <v>-20000</v>
      </c>
      <c r="F35" s="84">
        <f>-'Tables 26a,b-MasterInputs'!$F75*B35</f>
        <v>-70000</v>
      </c>
      <c r="G35" s="85">
        <f t="shared" si="5"/>
        <v>82780295.840329602</v>
      </c>
      <c r="H35" s="85">
        <f>'Tables 26a,b-MasterInputs'!$D$17*'Tables 26a,b-MasterInputs'!H75</f>
        <v>0</v>
      </c>
      <c r="I35" s="85">
        <f t="shared" si="6"/>
        <v>82780295.840329602</v>
      </c>
      <c r="J35" s="85"/>
      <c r="K35" s="85"/>
      <c r="L35" s="87"/>
      <c r="M35" s="88"/>
      <c r="N35" s="89"/>
      <c r="O35" s="84"/>
      <c r="P35" s="88"/>
      <c r="Q35" s="88"/>
      <c r="R35" s="88"/>
      <c r="S35" s="85"/>
      <c r="T35" s="85"/>
      <c r="U35" s="85"/>
    </row>
    <row r="39" spans="1:21" x14ac:dyDescent="0.25">
      <c r="G39" s="85"/>
    </row>
    <row r="40" spans="1:21" x14ac:dyDescent="0.25">
      <c r="A40" s="3" t="s">
        <v>392</v>
      </c>
    </row>
    <row r="41" spans="1:21" x14ac:dyDescent="0.25">
      <c r="A41" s="3"/>
      <c r="G41" s="1"/>
    </row>
    <row r="42" spans="1:21" x14ac:dyDescent="0.25">
      <c r="A42" s="3"/>
      <c r="B42" s="4"/>
      <c r="C42" s="1"/>
      <c r="D42" s="1"/>
      <c r="E42" s="82"/>
      <c r="F42" s="4"/>
      <c r="G42" s="82" t="s">
        <v>12</v>
      </c>
      <c r="H42" s="82"/>
      <c r="J42" s="82"/>
      <c r="K42" s="82"/>
      <c r="L42" s="82"/>
    </row>
    <row r="43" spans="1:21" x14ac:dyDescent="0.25">
      <c r="B43" s="82"/>
      <c r="C43" s="82"/>
      <c r="D43" s="82"/>
      <c r="E43" s="82"/>
      <c r="F43" s="82"/>
      <c r="G43" s="82" t="s">
        <v>13</v>
      </c>
      <c r="H43" s="82"/>
      <c r="J43" s="82"/>
      <c r="K43" s="82"/>
      <c r="L43" s="82"/>
    </row>
    <row r="44" spans="1:21" x14ac:dyDescent="0.25">
      <c r="A44" s="82" t="s">
        <v>3</v>
      </c>
      <c r="B44" s="82"/>
      <c r="C44" s="82" t="s">
        <v>14</v>
      </c>
      <c r="D44" s="82" t="s">
        <v>15</v>
      </c>
      <c r="E44" s="82" t="s">
        <v>16</v>
      </c>
      <c r="F44" s="82" t="s">
        <v>17</v>
      </c>
      <c r="G44" s="82" t="s">
        <v>18</v>
      </c>
      <c r="H44" s="82"/>
      <c r="J44" s="82"/>
      <c r="K44" s="82"/>
      <c r="L44" s="82"/>
      <c r="M44" s="82"/>
      <c r="N44" s="82"/>
      <c r="O44" s="82"/>
    </row>
    <row r="45" spans="1:21" x14ac:dyDescent="0.25">
      <c r="A45" s="2" t="s">
        <v>7</v>
      </c>
      <c r="B45" s="2" t="s">
        <v>17</v>
      </c>
      <c r="C45" s="2" t="s">
        <v>24</v>
      </c>
      <c r="D45" s="2" t="s">
        <v>25</v>
      </c>
      <c r="E45" s="2" t="s">
        <v>26</v>
      </c>
      <c r="F45" s="2" t="s">
        <v>27</v>
      </c>
      <c r="G45" s="2" t="s">
        <v>28</v>
      </c>
      <c r="H45" s="2"/>
      <c r="J45" s="2"/>
      <c r="K45" s="2"/>
      <c r="L45" s="2"/>
      <c r="M45" s="2"/>
      <c r="N45" s="2"/>
      <c r="O45" s="2"/>
    </row>
    <row r="46" spans="1:21" x14ac:dyDescent="0.25">
      <c r="K46" s="85"/>
    </row>
    <row r="47" spans="1:21" x14ac:dyDescent="0.25">
      <c r="A47" s="75">
        <v>1</v>
      </c>
      <c r="B47" s="85">
        <f>B16</f>
        <v>3500000</v>
      </c>
      <c r="C47" s="269">
        <f>MAX(('Table 7-10-OptionBudget'!$D$44/100)*(G46+B47+D47+E47+F47),0)</f>
        <v>85363.387129788971</v>
      </c>
      <c r="D47" s="84">
        <f>-'Tables 26a,b-MasterInputs'!$E56*('Tables 26a,b-MasterInputs'!D$14*'Tables 26a,b-MasterInputs'!D$13*1000/(1+'Tables 26a,b-MasterInputs'!$E31)-(G46+B47+E47+F47))</f>
        <v>-150641.56097560978</v>
      </c>
      <c r="E47" s="84">
        <f>-'Tables 26a,b-MasterInputs'!$G56*'Tables 26a,b-MasterInputs'!D$13</f>
        <v>-20000</v>
      </c>
      <c r="F47" s="84">
        <f>-'Tables 26a,b-MasterInputs'!$F56*B47</f>
        <v>-70000</v>
      </c>
      <c r="G47" s="85">
        <f>(B47+F47)+C47+D47+E47+K46</f>
        <v>3344721.8261541789</v>
      </c>
      <c r="H47" s="85"/>
      <c r="J47" s="85"/>
      <c r="K47" s="85"/>
      <c r="L47" s="87"/>
      <c r="M47" s="88"/>
      <c r="N47" s="286"/>
      <c r="O47" s="84"/>
      <c r="P47" s="85"/>
      <c r="Q47" s="84"/>
      <c r="R47" s="88"/>
      <c r="S47" s="90"/>
    </row>
    <row r="48" spans="1:21" x14ac:dyDescent="0.25">
      <c r="A48" s="75">
        <v>2</v>
      </c>
      <c r="B48" s="85">
        <f>B47</f>
        <v>3500000</v>
      </c>
      <c r="C48" s="269">
        <f>MAX(('Table 7-10-OptionBudget'!$D$44/100)*(G47+B48+D48+E48+F48),0)</f>
        <v>171675.67789731795</v>
      </c>
      <c r="D48" s="84">
        <f>-'Tables 26a,b-MasterInputs'!$E57*('Tables 26a,b-MasterInputs'!D$14*'Tables 26a,b-MasterInputs'!D$13*1000/(1+'Tables 26a,b-MasterInputs'!$E32)-(G47+B48+E48+F48))</f>
        <v>-199773.75832392427</v>
      </c>
      <c r="E48" s="84">
        <f>-'Tables 26a,b-MasterInputs'!$G57*'Tables 26a,b-MasterInputs'!D$13</f>
        <v>-20000</v>
      </c>
      <c r="F48" s="84">
        <f>-'Tables 26a,b-MasterInputs'!F57*B48</f>
        <v>-70000</v>
      </c>
      <c r="G48" s="85">
        <f>(B48+F48)+C48+D48+E48+G47</f>
        <v>6726623.7457275726</v>
      </c>
      <c r="H48" s="85"/>
      <c r="J48" s="85"/>
      <c r="K48" s="85"/>
      <c r="L48" s="87"/>
      <c r="M48" s="88"/>
      <c r="N48" s="286"/>
      <c r="O48" s="84"/>
    </row>
    <row r="49" spans="1:21" x14ac:dyDescent="0.25">
      <c r="A49" s="75">
        <v>3</v>
      </c>
      <c r="B49" s="85">
        <f>B48</f>
        <v>3500000</v>
      </c>
      <c r="C49" s="269">
        <f>MAX(('Table 7-10-OptionBudget'!$D$44/100)*(G48+B49+D49+E49+F49),0)</f>
        <v>258932.1898271903</v>
      </c>
      <c r="D49" s="84">
        <f>-'Tables 26a,b-MasterInputs'!$E58*('Tables 26a,b-MasterInputs'!D$14*'Tables 26a,b-MasterInputs'!D$13*1000/(1+'Tables 26a,b-MasterInputs'!$E33)-(G48+B49+E49+F49))</f>
        <v>-250033.64633112165</v>
      </c>
      <c r="E49" s="84">
        <f>-'Tables 26a,b-MasterInputs'!$G58*'Tables 26a,b-MasterInputs'!D$13</f>
        <v>-20000</v>
      </c>
      <c r="F49" s="84">
        <f>-'Tables 26a,b-MasterInputs'!F58*B49</f>
        <v>-70000</v>
      </c>
      <c r="G49" s="85">
        <f t="shared" ref="G49" si="7">(B49+F49)+C49+D49+E49+G48</f>
        <v>10145522.289223641</v>
      </c>
      <c r="H49" s="85"/>
      <c r="J49" s="85"/>
      <c r="K49" s="85"/>
      <c r="L49" s="87"/>
      <c r="M49" s="88"/>
      <c r="N49" s="286"/>
      <c r="O49" s="84"/>
      <c r="P49" s="88"/>
      <c r="Q49" s="88"/>
      <c r="R49" s="88"/>
      <c r="S49" s="85"/>
      <c r="T49" s="85"/>
      <c r="U49" s="85"/>
    </row>
    <row r="50" spans="1:21" x14ac:dyDescent="0.25">
      <c r="A50" s="75">
        <v>4</v>
      </c>
      <c r="B50" s="85">
        <f t="shared" ref="B50:B66" si="8">B49</f>
        <v>3500000</v>
      </c>
      <c r="C50" s="269">
        <f>MAX(('Table 7-10-OptionBudget'!$D$44/100)*(G49+B50+D50+E50+F50),0)</f>
        <v>347497.99146002467</v>
      </c>
      <c r="D50" s="84">
        <f>-'Tables 26a,b-MasterInputs'!$E59*('Tables 26a,b-MasterInputs'!D$14*'Tables 26a,b-MasterInputs'!D$13*1000/(1+'Tables 26a,b-MasterInputs'!$E34)-(G49+B50+E50+F50))</f>
        <v>-287298.65035622101</v>
      </c>
      <c r="E50" s="84">
        <f>-'Tables 26a,b-MasterInputs'!$G59*'Tables 26a,b-MasterInputs'!D$13</f>
        <v>-20000</v>
      </c>
      <c r="F50" s="84">
        <f>-'Tables 26a,b-MasterInputs'!F59*B50</f>
        <v>-70000</v>
      </c>
      <c r="G50" s="85">
        <f t="shared" ref="G50:G66" si="9">(B50+F50)+C50+D50+E50+G49</f>
        <v>13615721.630327445</v>
      </c>
      <c r="H50" s="85"/>
      <c r="I50" s="85"/>
      <c r="J50" s="85"/>
      <c r="K50" s="85"/>
      <c r="L50" s="87"/>
      <c r="M50" s="88"/>
      <c r="N50" s="89"/>
      <c r="O50" s="84"/>
      <c r="P50" s="88"/>
      <c r="Q50" s="88"/>
      <c r="R50" s="88"/>
      <c r="S50" s="85"/>
      <c r="T50" s="85"/>
      <c r="U50" s="85"/>
    </row>
    <row r="51" spans="1:21" x14ac:dyDescent="0.25">
      <c r="A51" s="75">
        <v>5</v>
      </c>
      <c r="B51" s="85">
        <f t="shared" si="8"/>
        <v>3500000</v>
      </c>
      <c r="C51" s="269">
        <f>MAX(('Table 7-10-OptionBudget'!$D$44/100)*(G50+B51+D51+E51+F51),0)</f>
        <v>437723.93143606163</v>
      </c>
      <c r="D51" s="84">
        <f>-'Tables 26a,b-MasterInputs'!$E60*('Tables 26a,b-MasterInputs'!D$14*'Tables 26a,b-MasterInputs'!D$13*1000/(1+'Tables 26a,b-MasterInputs'!$E35)-(G50+B51+E51+F51))</f>
        <v>-312476.78544018324</v>
      </c>
      <c r="E51" s="84">
        <f>-'Tables 26a,b-MasterInputs'!$G60*'Tables 26a,b-MasterInputs'!D$13</f>
        <v>-20000</v>
      </c>
      <c r="F51" s="84">
        <f>-'Tables 26a,b-MasterInputs'!F60*B51</f>
        <v>-70000</v>
      </c>
      <c r="G51" s="85">
        <f t="shared" si="9"/>
        <v>17150968.776323322</v>
      </c>
      <c r="H51" s="85"/>
      <c r="I51" s="85"/>
      <c r="J51" s="85"/>
      <c r="K51" s="85"/>
      <c r="L51" s="87"/>
      <c r="M51" s="88"/>
      <c r="N51" s="89"/>
      <c r="O51" s="84"/>
      <c r="P51" s="88"/>
      <c r="Q51" s="88"/>
      <c r="R51" s="88"/>
      <c r="S51" s="85"/>
      <c r="T51" s="85"/>
      <c r="U51" s="85"/>
    </row>
    <row r="52" spans="1:21" x14ac:dyDescent="0.25">
      <c r="A52" s="75">
        <v>6</v>
      </c>
      <c r="B52" s="85">
        <f t="shared" si="8"/>
        <v>3500000</v>
      </c>
      <c r="C52" s="269">
        <f>MAX(('Table 7-10-OptionBudget'!$D$44/100)*(G51+B52+D52+E52+F52),0)</f>
        <v>530438.22461287398</v>
      </c>
      <c r="D52" s="84">
        <f>-'Tables 26a,b-MasterInputs'!$E61*('Tables 26a,b-MasterInputs'!D$14*'Tables 26a,b-MasterInputs'!D$13*1000/(1+'Tables 26a,b-MasterInputs'!$E36)-(G51+B52+E52+F52))</f>
        <v>-307692.0273063975</v>
      </c>
      <c r="E52" s="84">
        <f>-'Tables 26a,b-MasterInputs'!$G61*'Tables 26a,b-MasterInputs'!D$13</f>
        <v>-20000</v>
      </c>
      <c r="F52" s="84">
        <f>-'Tables 26a,b-MasterInputs'!F61*B52</f>
        <v>-70000</v>
      </c>
      <c r="G52" s="85">
        <f t="shared" si="9"/>
        <v>20783714.973629799</v>
      </c>
      <c r="H52" s="85"/>
      <c r="I52" s="85"/>
      <c r="J52" s="85"/>
      <c r="K52" s="85"/>
      <c r="L52" s="87"/>
      <c r="M52" s="88"/>
      <c r="N52" s="89"/>
      <c r="O52" s="84"/>
      <c r="P52" s="88"/>
      <c r="Q52" s="88"/>
      <c r="R52" s="88"/>
      <c r="S52" s="85"/>
      <c r="T52" s="85"/>
      <c r="U52" s="85"/>
    </row>
    <row r="53" spans="1:21" x14ac:dyDescent="0.25">
      <c r="A53" s="75">
        <v>7</v>
      </c>
      <c r="B53" s="85">
        <f t="shared" si="8"/>
        <v>3500000</v>
      </c>
      <c r="C53" s="269">
        <f>MAX(('Table 7-10-OptionBudget'!$D$44/100)*(G52+B53+D53+E53+F53),0)</f>
        <v>625860.99870167149</v>
      </c>
      <c r="D53" s="84">
        <f>-'Tables 26a,b-MasterInputs'!$E62*('Tables 26a,b-MasterInputs'!D$14*'Tables 26a,b-MasterInputs'!D$13*1000/(1+'Tables 26a,b-MasterInputs'!$E37)-(G52+B53+E53+F53))</f>
        <v>-296990.67105503933</v>
      </c>
      <c r="E53" s="84">
        <f>-'Tables 26a,b-MasterInputs'!$G62*'Tables 26a,b-MasterInputs'!D$13</f>
        <v>-20000</v>
      </c>
      <c r="F53" s="84">
        <f>-'Tables 26a,b-MasterInputs'!F62*B53</f>
        <v>-70000</v>
      </c>
      <c r="G53" s="85">
        <f t="shared" si="9"/>
        <v>24522585.30127643</v>
      </c>
      <c r="H53" s="85"/>
      <c r="I53" s="85"/>
      <c r="J53" s="85"/>
      <c r="K53" s="85"/>
      <c r="L53" s="87"/>
      <c r="M53" s="88"/>
      <c r="N53" s="89"/>
      <c r="O53" s="84"/>
      <c r="P53" s="88"/>
      <c r="Q53" s="88"/>
      <c r="R53" s="88"/>
      <c r="S53" s="85"/>
      <c r="T53" s="85"/>
      <c r="U53" s="85"/>
    </row>
    <row r="54" spans="1:21" x14ac:dyDescent="0.25">
      <c r="A54" s="75">
        <v>8</v>
      </c>
      <c r="B54" s="85">
        <f t="shared" si="8"/>
        <v>3500000</v>
      </c>
      <c r="C54" s="269">
        <f>MAX(('Table 7-10-OptionBudget'!$D$44/100)*(G53+B54+D54+E54+F54),0)</f>
        <v>724336.13455103338</v>
      </c>
      <c r="D54" s="84">
        <f>-'Tables 26a,b-MasterInputs'!$E63*('Tables 26a,b-MasterInputs'!D$14*'Tables 26a,b-MasterInputs'!D$13*1000/(1+'Tables 26a,b-MasterInputs'!$E38)-(G53+B54+E54+F54))</f>
        <v>-275867.68240219651</v>
      </c>
      <c r="E54" s="84">
        <f>-'Tables 26a,b-MasterInputs'!$G63*'Tables 26a,b-MasterInputs'!D$13</f>
        <v>-20000</v>
      </c>
      <c r="F54" s="84">
        <f>-'Tables 26a,b-MasterInputs'!F63*B54</f>
        <v>-70000</v>
      </c>
      <c r="G54" s="85">
        <f t="shared" si="9"/>
        <v>28381053.753425267</v>
      </c>
      <c r="H54" s="85"/>
      <c r="I54" s="85"/>
      <c r="J54" s="85"/>
      <c r="K54" s="85"/>
      <c r="L54" s="87"/>
      <c r="M54" s="88"/>
      <c r="N54" s="89"/>
      <c r="O54" s="84"/>
      <c r="P54" s="88"/>
      <c r="Q54" s="88"/>
      <c r="R54" s="88"/>
      <c r="S54" s="85"/>
      <c r="T54" s="85"/>
      <c r="U54" s="85"/>
    </row>
    <row r="55" spans="1:21" x14ac:dyDescent="0.25">
      <c r="A55" s="75">
        <v>9</v>
      </c>
      <c r="B55" s="85">
        <f t="shared" si="8"/>
        <v>3500000</v>
      </c>
      <c r="C55" s="269">
        <f>MAX(('Table 7-10-OptionBudget'!$D$44/100)*(G54+B55+D55+E55+F55),0)</f>
        <v>826186.91684139601</v>
      </c>
      <c r="D55" s="84">
        <f>-'Tables 26a,b-MasterInputs'!$E64*('Tables 26a,b-MasterInputs'!D$14*'Tables 26a,b-MasterInputs'!D$13*1000/(1+'Tables 26a,b-MasterInputs'!$E39)-(G54+B55+E55+F55))</f>
        <v>-245453.34836782666</v>
      </c>
      <c r="E55" s="84">
        <f>-'Tables 26a,b-MasterInputs'!$G64*'Tables 26a,b-MasterInputs'!D$13</f>
        <v>-20000</v>
      </c>
      <c r="F55" s="84">
        <f>-'Tables 26a,b-MasterInputs'!F64*B55</f>
        <v>-70000</v>
      </c>
      <c r="G55" s="85">
        <f t="shared" si="9"/>
        <v>32371787.321898837</v>
      </c>
      <c r="H55" s="85"/>
      <c r="I55" s="85"/>
      <c r="J55" s="85"/>
      <c r="K55" s="85"/>
      <c r="L55" s="87"/>
      <c r="M55" s="88"/>
      <c r="N55" s="89"/>
      <c r="O55" s="84"/>
      <c r="P55" s="88"/>
      <c r="Q55" s="88"/>
      <c r="R55" s="88"/>
      <c r="S55" s="85"/>
      <c r="T55" s="85"/>
      <c r="U55" s="85"/>
    </row>
    <row r="56" spans="1:21" x14ac:dyDescent="0.25">
      <c r="A56" s="75">
        <v>10</v>
      </c>
      <c r="B56" s="85">
        <f t="shared" si="8"/>
        <v>3500000</v>
      </c>
      <c r="C56" s="269">
        <f>MAX(('Table 7-10-OptionBudget'!$D$44/100)*(G55+B56+D56+E56+F56),0)</f>
        <v>931551.53736937372</v>
      </c>
      <c r="D56" s="84">
        <f>-'Tables 26a,b-MasterInputs'!$E65*('Tables 26a,b-MasterInputs'!D$14*'Tables 26a,b-MasterInputs'!D$13*1000/(1+'Tables 26a,b-MasterInputs'!$E40)-(G55+B56+E56+F56))</f>
        <v>-213138.19959310762</v>
      </c>
      <c r="E56" s="84">
        <f>-'Tables 26a,b-MasterInputs'!$G65*'Tables 26a,b-MasterInputs'!D$13</f>
        <v>-20000</v>
      </c>
      <c r="F56" s="84">
        <f>-'Tables 26a,b-MasterInputs'!F65*B56</f>
        <v>-70000</v>
      </c>
      <c r="G56" s="85">
        <f t="shared" si="9"/>
        <v>36500200.659675106</v>
      </c>
      <c r="H56" s="85"/>
      <c r="I56" s="85"/>
      <c r="J56" s="85"/>
      <c r="K56" s="85"/>
      <c r="L56" s="87"/>
      <c r="M56" s="88"/>
      <c r="N56" s="89"/>
      <c r="O56" s="84"/>
      <c r="P56" s="88"/>
      <c r="Q56" s="88"/>
      <c r="R56" s="88"/>
      <c r="S56" s="85"/>
      <c r="T56" s="85"/>
      <c r="U56" s="85"/>
    </row>
    <row r="57" spans="1:21" x14ac:dyDescent="0.25">
      <c r="A57" s="75">
        <v>11</v>
      </c>
      <c r="B57" s="85">
        <f t="shared" si="8"/>
        <v>3500000</v>
      </c>
      <c r="C57" s="269">
        <f>MAX(('Table 7-10-OptionBudget'!$D$44/100)*(G56+B57+D57+E57+F57),0)</f>
        <v>1039944.5288808467</v>
      </c>
      <c r="D57" s="84">
        <f>-'Tables 26a,b-MasterInputs'!$E66*('Tables 26a,b-MasterInputs'!D$14*'Tables 26a,b-MasterInputs'!D$13*1000/(1+'Tables 26a,b-MasterInputs'!$E41)-(G56+B57+E57+F57))</f>
        <v>-202873.07704933509</v>
      </c>
      <c r="E57" s="84">
        <f>-'Tables 26a,b-MasterInputs'!$G66*'Tables 26a,b-MasterInputs'!D$13</f>
        <v>-20000</v>
      </c>
      <c r="F57" s="84">
        <f>-'Tables 26a,b-MasterInputs'!F66*B57</f>
        <v>-70000</v>
      </c>
      <c r="G57" s="85">
        <f t="shared" si="9"/>
        <v>40747272.111506619</v>
      </c>
      <c r="H57" s="85"/>
      <c r="I57" s="85"/>
      <c r="J57" s="85"/>
      <c r="K57" s="85"/>
      <c r="L57" s="87"/>
      <c r="M57" s="88"/>
      <c r="N57" s="89"/>
      <c r="O57" s="84"/>
      <c r="P57" s="88"/>
      <c r="Q57" s="88"/>
      <c r="R57" s="88"/>
      <c r="S57" s="85"/>
      <c r="T57" s="85"/>
      <c r="U57" s="85"/>
    </row>
    <row r="58" spans="1:21" x14ac:dyDescent="0.25">
      <c r="A58" s="75">
        <v>12</v>
      </c>
      <c r="B58" s="85">
        <f t="shared" si="8"/>
        <v>3500000</v>
      </c>
      <c r="C58" s="269">
        <f>MAX(('Table 7-10-OptionBudget'!$D$44/100)*(G57+B58+D58+E58+F58),0)</f>
        <v>1150711.8064793132</v>
      </c>
      <c r="D58" s="84">
        <f>-'Tables 26a,b-MasterInputs'!$E67*('Tables 26a,b-MasterInputs'!D$14*'Tables 26a,b-MasterInputs'!D$13*1000/(1+'Tables 26a,b-MasterInputs'!$E42)-(G57+B58+E58+F58))</f>
        <v>-220610.69915126867</v>
      </c>
      <c r="E58" s="84">
        <f>-'Tables 26a,b-MasterInputs'!$G67*'Tables 26a,b-MasterInputs'!D$13</f>
        <v>-20000</v>
      </c>
      <c r="F58" s="84">
        <f>-'Tables 26a,b-MasterInputs'!F67*B58</f>
        <v>-70000</v>
      </c>
      <c r="G58" s="85">
        <f t="shared" si="9"/>
        <v>45087373.218834661</v>
      </c>
      <c r="H58" s="85"/>
      <c r="I58" s="85"/>
      <c r="J58" s="85"/>
      <c r="K58" s="85"/>
      <c r="L58" s="87"/>
      <c r="M58" s="88"/>
      <c r="N58" s="89"/>
      <c r="O58" s="84"/>
      <c r="P58" s="88"/>
      <c r="Q58" s="88"/>
      <c r="R58" s="88"/>
      <c r="S58" s="85"/>
      <c r="T58" s="85"/>
      <c r="U58" s="85"/>
    </row>
    <row r="59" spans="1:21" x14ac:dyDescent="0.25">
      <c r="A59" s="75">
        <v>13</v>
      </c>
      <c r="B59" s="85">
        <f t="shared" si="8"/>
        <v>3500000</v>
      </c>
      <c r="C59" s="269">
        <f>MAX(('Table 7-10-OptionBudget'!$D$44/100)*(G58+B59+D59+E59+F59),0)</f>
        <v>1263936.0434506158</v>
      </c>
      <c r="D59" s="84">
        <f>-'Tables 26a,b-MasterInputs'!$E68*('Tables 26a,b-MasterInputs'!D$14*'Tables 26a,b-MasterInputs'!D$13*1000/(1+'Tables 26a,b-MasterInputs'!$E43)-(G58+B59+E59+F59))</f>
        <v>-237565.96277684165</v>
      </c>
      <c r="E59" s="84">
        <f>-'Tables 26a,b-MasterInputs'!$G68*'Tables 26a,b-MasterInputs'!D$13</f>
        <v>-20000</v>
      </c>
      <c r="F59" s="84">
        <f>-'Tables 26a,b-MasterInputs'!F68*B59</f>
        <v>-70000</v>
      </c>
      <c r="G59" s="85">
        <f t="shared" si="9"/>
        <v>49523743.299508438</v>
      </c>
      <c r="H59" s="85"/>
      <c r="I59" s="85"/>
      <c r="J59" s="85"/>
      <c r="K59" s="85"/>
      <c r="L59" s="87"/>
      <c r="M59" s="88"/>
      <c r="N59" s="89"/>
      <c r="O59" s="84"/>
      <c r="P59" s="88"/>
      <c r="Q59" s="88"/>
      <c r="R59" s="88"/>
      <c r="S59" s="85"/>
      <c r="T59" s="85"/>
      <c r="U59" s="85"/>
    </row>
    <row r="60" spans="1:21" x14ac:dyDescent="0.25">
      <c r="A60" s="75">
        <v>14</v>
      </c>
      <c r="B60" s="85">
        <f t="shared" si="8"/>
        <v>3500000</v>
      </c>
      <c r="C60" s="269">
        <f>MAX(('Table 7-10-OptionBudget'!$D$44/100)*(G59+B60+D60+E60+F60),0)</f>
        <v>1379867.7444818229</v>
      </c>
      <c r="D60" s="84">
        <f>-'Tables 26a,b-MasterInputs'!$E69*('Tables 26a,b-MasterInputs'!D$14*'Tables 26a,b-MasterInputs'!D$13*1000/(1+'Tables 26a,b-MasterInputs'!$E44)-(G59+B60+E60+F60))</f>
        <v>-247413.37592801309</v>
      </c>
      <c r="E60" s="84">
        <f>-'Tables 26a,b-MasterInputs'!$G69*'Tables 26a,b-MasterInputs'!D$13</f>
        <v>-20000</v>
      </c>
      <c r="F60" s="84">
        <f>-'Tables 26a,b-MasterInputs'!F69*B60</f>
        <v>-70000</v>
      </c>
      <c r="G60" s="85">
        <f t="shared" si="9"/>
        <v>54066197.668062247</v>
      </c>
      <c r="H60" s="85"/>
      <c r="I60" s="85"/>
      <c r="J60" s="85"/>
      <c r="K60" s="85"/>
      <c r="L60" s="87"/>
      <c r="M60" s="88"/>
      <c r="N60" s="89"/>
      <c r="O60" s="84"/>
      <c r="P60" s="88"/>
      <c r="Q60" s="88"/>
      <c r="R60" s="88"/>
      <c r="S60" s="85"/>
      <c r="T60" s="85"/>
      <c r="U60" s="85"/>
    </row>
    <row r="61" spans="1:21" x14ac:dyDescent="0.25">
      <c r="A61" s="75">
        <v>15</v>
      </c>
      <c r="B61" s="85">
        <f t="shared" si="8"/>
        <v>3500000</v>
      </c>
      <c r="C61" s="269">
        <f>MAX(('Table 7-10-OptionBudget'!$D$44/100)*(G60+B61+D61+E61+F61),0)</f>
        <v>1498767.7511104483</v>
      </c>
      <c r="D61" s="84">
        <f>-'Tables 26a,b-MasterInputs'!$E70*('Tables 26a,b-MasterInputs'!D$14*'Tables 26a,b-MasterInputs'!D$13*1000/(1+'Tables 26a,b-MasterInputs'!$E45)-(G60+B61+E61+F61))</f>
        <v>-250008.76002234465</v>
      </c>
      <c r="E61" s="84">
        <f>-'Tables 26a,b-MasterInputs'!$G70*'Tables 26a,b-MasterInputs'!D$13</f>
        <v>-20000</v>
      </c>
      <c r="F61" s="84">
        <f>-'Tables 26a,b-MasterInputs'!F70*B61</f>
        <v>-70000</v>
      </c>
      <c r="G61" s="85">
        <f t="shared" si="9"/>
        <v>58724956.659150347</v>
      </c>
      <c r="H61" s="85"/>
      <c r="I61" s="85"/>
      <c r="J61" s="85"/>
      <c r="K61" s="85"/>
      <c r="L61" s="87"/>
      <c r="M61" s="88"/>
      <c r="N61" s="89"/>
      <c r="O61" s="84"/>
      <c r="P61" s="88"/>
      <c r="Q61" s="88"/>
      <c r="R61" s="88"/>
      <c r="S61" s="85"/>
      <c r="T61" s="85"/>
      <c r="U61" s="85"/>
    </row>
    <row r="62" spans="1:21" x14ac:dyDescent="0.25">
      <c r="A62" s="75">
        <v>16</v>
      </c>
      <c r="B62" s="85">
        <f t="shared" si="8"/>
        <v>3500000</v>
      </c>
      <c r="C62" s="269">
        <f>MAX(('Table 7-10-OptionBudget'!$D$44/100)*(G61+B62+D62+E62+F62),0)</f>
        <v>1620841.3502912482</v>
      </c>
      <c r="D62" s="84">
        <f>-'Tables 26a,b-MasterInputs'!$E71*('Tables 26a,b-MasterInputs'!D$14*'Tables 26a,b-MasterInputs'!D$13*1000/(1+'Tables 26a,b-MasterInputs'!$E46)-(G61+B62+E62+F62))</f>
        <v>-247734.15052158613</v>
      </c>
      <c r="E62" s="84">
        <f>-'Tables 26a,b-MasterInputs'!$G71*'Tables 26a,b-MasterInputs'!D$13</f>
        <v>-20000</v>
      </c>
      <c r="F62" s="84">
        <f>-'Tables 26a,b-MasterInputs'!F71*B62</f>
        <v>-70000</v>
      </c>
      <c r="G62" s="85">
        <f t="shared" si="9"/>
        <v>63508063.858920008</v>
      </c>
      <c r="H62" s="85"/>
      <c r="I62" s="85"/>
      <c r="J62" s="85"/>
      <c r="K62" s="85"/>
      <c r="L62" s="87"/>
      <c r="M62" s="88"/>
      <c r="N62" s="89"/>
      <c r="O62" s="84"/>
      <c r="P62" s="88"/>
      <c r="Q62" s="88"/>
      <c r="R62" s="88"/>
      <c r="S62" s="85"/>
      <c r="T62" s="85"/>
      <c r="U62" s="85"/>
    </row>
    <row r="63" spans="1:21" x14ac:dyDescent="0.25">
      <c r="A63" s="75">
        <v>17</v>
      </c>
      <c r="B63" s="85">
        <f t="shared" si="8"/>
        <v>3500000</v>
      </c>
      <c r="C63" s="269">
        <f>MAX(('Table 7-10-OptionBudget'!$D$44/100)*(G62+B63+D63+E63+F63),0)</f>
        <v>1746475.2784318</v>
      </c>
      <c r="D63" s="84">
        <f>-'Tables 26a,b-MasterInputs'!$E72*('Tables 26a,b-MasterInputs'!D$14*'Tables 26a,b-MasterInputs'!D$13*1000/(1+'Tables 26a,b-MasterInputs'!$E47)-(G62+B63+E63+F63))</f>
        <v>-233866.70248238114</v>
      </c>
      <c r="E63" s="84">
        <f>-'Tables 26a,b-MasterInputs'!$G72*'Tables 26a,b-MasterInputs'!D$13</f>
        <v>-20000</v>
      </c>
      <c r="F63" s="84">
        <f>-'Tables 26a,b-MasterInputs'!F72*B63</f>
        <v>-70000</v>
      </c>
      <c r="G63" s="85">
        <f t="shared" si="9"/>
        <v>68430672.434869424</v>
      </c>
      <c r="H63" s="85"/>
      <c r="I63" s="85"/>
      <c r="J63" s="85"/>
      <c r="K63" s="85"/>
      <c r="L63" s="87"/>
      <c r="M63" s="88"/>
      <c r="N63" s="89"/>
      <c r="O63" s="84"/>
      <c r="P63" s="88"/>
      <c r="Q63" s="88"/>
      <c r="R63" s="88"/>
      <c r="S63" s="85"/>
      <c r="T63" s="85"/>
      <c r="U63" s="85"/>
    </row>
    <row r="64" spans="1:21" x14ac:dyDescent="0.25">
      <c r="A64" s="75">
        <v>18</v>
      </c>
      <c r="B64" s="85">
        <f t="shared" si="8"/>
        <v>3500000</v>
      </c>
      <c r="C64" s="269">
        <f>MAX(('Table 7-10-OptionBudget'!$D$44/100)*(G63+B64+D64+E64+F64),0)</f>
        <v>1875886.4076524363</v>
      </c>
      <c r="D64" s="84">
        <f>-'Tables 26a,b-MasterInputs'!$E73*('Tables 26a,b-MasterInputs'!D$14*'Tables 26a,b-MasterInputs'!D$13*1000/(1+'Tables 26a,b-MasterInputs'!$E48)-(G63+B64+E64+F64))</f>
        <v>-215278.93757380155</v>
      </c>
      <c r="E64" s="84">
        <f>-'Tables 26a,b-MasterInputs'!$G73*'Tables 26a,b-MasterInputs'!D$13</f>
        <v>-20000</v>
      </c>
      <c r="F64" s="84">
        <f>-'Tables 26a,b-MasterInputs'!F73*B64</f>
        <v>-70000</v>
      </c>
      <c r="G64" s="85">
        <f t="shared" si="9"/>
        <v>73501279.904948056</v>
      </c>
      <c r="H64" s="85"/>
      <c r="I64" s="85"/>
      <c r="J64" s="85"/>
      <c r="K64" s="85"/>
      <c r="L64" s="87"/>
      <c r="M64" s="88"/>
      <c r="N64" s="89"/>
      <c r="O64" s="84"/>
      <c r="P64" s="88"/>
      <c r="Q64" s="88"/>
      <c r="R64" s="88"/>
      <c r="S64" s="85"/>
      <c r="T64" s="85"/>
      <c r="U64" s="85"/>
    </row>
    <row r="65" spans="1:21" x14ac:dyDescent="0.25">
      <c r="A65" s="75">
        <v>19</v>
      </c>
      <c r="B65" s="85">
        <f t="shared" si="8"/>
        <v>3500000</v>
      </c>
      <c r="C65" s="269">
        <f>MAX(('Table 7-10-OptionBudget'!$D$44/100)*(G64+B65+D65+E65+F65),0)</f>
        <v>2009350.5859635219</v>
      </c>
      <c r="D65" s="84">
        <f>-'Tables 26a,b-MasterInputs'!$E74*('Tables 26a,b-MasterInputs'!D$14*'Tables 26a,b-MasterInputs'!D$13*1000/(1+'Tables 26a,b-MasterInputs'!$E49)-(G64+B65+E65+F65))</f>
        <v>-189935.9010928245</v>
      </c>
      <c r="E65" s="84">
        <f>-'Tables 26a,b-MasterInputs'!$G74*'Tables 26a,b-MasterInputs'!D$13</f>
        <v>-20000</v>
      </c>
      <c r="F65" s="84">
        <f>-'Tables 26a,b-MasterInputs'!F74*B65</f>
        <v>-70000</v>
      </c>
      <c r="G65" s="85">
        <f t="shared" si="9"/>
        <v>78730694.589818746</v>
      </c>
      <c r="H65" s="85"/>
      <c r="I65" s="85"/>
      <c r="J65" s="85"/>
      <c r="K65" s="85"/>
      <c r="L65" s="87"/>
      <c r="M65" s="88"/>
      <c r="N65" s="89"/>
      <c r="O65" s="84"/>
      <c r="P65" s="88"/>
      <c r="Q65" s="88"/>
      <c r="R65" s="88"/>
      <c r="S65" s="85"/>
      <c r="T65" s="85"/>
      <c r="U65" s="85"/>
    </row>
    <row r="66" spans="1:21" x14ac:dyDescent="0.25">
      <c r="A66" s="75">
        <v>20</v>
      </c>
      <c r="B66" s="85">
        <f t="shared" si="8"/>
        <v>3500000</v>
      </c>
      <c r="C66" s="269">
        <f>MAX(('Table 7-10-OptionBudget'!$D$44/100)*(G65+B66+D66+E66+F66),0)</f>
        <v>2147195.5991328284</v>
      </c>
      <c r="D66" s="84">
        <f>-'Tables 26a,b-MasterInputs'!$E75*('Tables 26a,b-MasterInputs'!D$14*'Tables 26a,b-MasterInputs'!D$13*1000/(1+'Tables 26a,b-MasterInputs'!$E50)-(G65+B66+E66+F66))</f>
        <v>-156130.34532686585</v>
      </c>
      <c r="E66" s="84">
        <f>-'Tables 26a,b-MasterInputs'!$G75*'Tables 26a,b-MasterInputs'!D$13</f>
        <v>-20000</v>
      </c>
      <c r="F66" s="84">
        <f>-'Tables 26a,b-MasterInputs'!F75*B66</f>
        <v>-70000</v>
      </c>
      <c r="G66" s="85">
        <f t="shared" si="9"/>
        <v>84131759.843624711</v>
      </c>
      <c r="H66" s="85"/>
      <c r="I66" s="85"/>
      <c r="J66" s="85"/>
      <c r="K66" s="85"/>
      <c r="L66" s="87"/>
      <c r="M66" s="88"/>
      <c r="N66" s="89"/>
      <c r="O66" s="84"/>
      <c r="P66" s="88"/>
      <c r="Q66" s="88"/>
      <c r="R66" s="88"/>
      <c r="S66" s="85"/>
      <c r="T66" s="85"/>
      <c r="U66" s="85"/>
    </row>
    <row r="80" spans="1:21" x14ac:dyDescent="0.25">
      <c r="P80" s="88"/>
      <c r="Q80" s="88"/>
      <c r="R80" s="88"/>
      <c r="S80" s="85"/>
      <c r="T80" s="85"/>
      <c r="U80" s="85"/>
    </row>
    <row r="81" spans="16:21" x14ac:dyDescent="0.25">
      <c r="P81" s="88"/>
      <c r="Q81" s="88"/>
      <c r="R81" s="88"/>
      <c r="S81" s="85"/>
      <c r="T81" s="85"/>
      <c r="U81" s="85"/>
    </row>
    <row r="82" spans="16:21" x14ac:dyDescent="0.25">
      <c r="P82" s="88"/>
      <c r="Q82" s="88"/>
      <c r="R82" s="88"/>
      <c r="S82" s="85"/>
      <c r="T82" s="85"/>
      <c r="U82" s="85"/>
    </row>
    <row r="83" spans="16:21" x14ac:dyDescent="0.25">
      <c r="P83" s="88"/>
      <c r="Q83" s="88"/>
      <c r="R83" s="88"/>
      <c r="S83" s="85"/>
      <c r="T83" s="85"/>
      <c r="U83" s="85"/>
    </row>
    <row r="84" spans="16:21" x14ac:dyDescent="0.25">
      <c r="P84" s="88"/>
      <c r="Q84" s="88"/>
      <c r="R84" s="88"/>
      <c r="S84" s="85"/>
      <c r="T84" s="85"/>
      <c r="U84" s="85"/>
    </row>
    <row r="85" spans="16:21" x14ac:dyDescent="0.25">
      <c r="P85" s="88"/>
      <c r="Q85" s="88"/>
      <c r="R85" s="88"/>
      <c r="S85" s="85"/>
      <c r="T85" s="85"/>
      <c r="U85" s="85"/>
    </row>
    <row r="86" spans="16:21" x14ac:dyDescent="0.25">
      <c r="P86" s="88"/>
      <c r="Q86" s="88"/>
      <c r="R86" s="88"/>
      <c r="S86" s="85"/>
      <c r="T86" s="85"/>
      <c r="U86" s="85"/>
    </row>
    <row r="87" spans="16:21" x14ac:dyDescent="0.25">
      <c r="P87" s="88"/>
      <c r="Q87" s="88"/>
      <c r="R87" s="88"/>
      <c r="S87" s="85"/>
      <c r="T87" s="85"/>
      <c r="U87" s="85"/>
    </row>
    <row r="88" spans="16:21" x14ac:dyDescent="0.25">
      <c r="P88" s="88"/>
      <c r="Q88" s="88"/>
      <c r="R88" s="88"/>
      <c r="S88" s="85"/>
      <c r="T88" s="85"/>
      <c r="U88" s="85"/>
    </row>
    <row r="89" spans="16:21" x14ac:dyDescent="0.25">
      <c r="P89" s="88"/>
      <c r="Q89" s="88"/>
      <c r="R89" s="88"/>
      <c r="S89" s="85"/>
      <c r="T89" s="85"/>
      <c r="U89" s="85"/>
    </row>
    <row r="90" spans="16:21" x14ac:dyDescent="0.25">
      <c r="P90" s="88"/>
      <c r="Q90" s="88"/>
      <c r="R90" s="88"/>
      <c r="S90" s="85"/>
      <c r="T90" s="85"/>
      <c r="U90" s="85"/>
    </row>
    <row r="91" spans="16:21" x14ac:dyDescent="0.25">
      <c r="P91" s="88"/>
      <c r="Q91" s="88"/>
      <c r="R91" s="88"/>
      <c r="S91" s="85"/>
      <c r="T91" s="85"/>
      <c r="U91" s="85"/>
    </row>
    <row r="92" spans="16:21" x14ac:dyDescent="0.25">
      <c r="P92" s="88"/>
      <c r="Q92" s="88"/>
      <c r="R92" s="88"/>
      <c r="S92" s="85"/>
      <c r="T92" s="85"/>
      <c r="U92" s="85"/>
    </row>
    <row r="93" spans="16:21" x14ac:dyDescent="0.25">
      <c r="P93" s="88"/>
      <c r="Q93" s="88"/>
      <c r="R93" s="88"/>
      <c r="S93" s="85"/>
      <c r="T93" s="85"/>
      <c r="U93" s="85"/>
    </row>
    <row r="94" spans="16:21" x14ac:dyDescent="0.25">
      <c r="P94" s="88"/>
      <c r="Q94" s="88"/>
      <c r="R94" s="88"/>
      <c r="S94" s="85"/>
      <c r="T94" s="85"/>
      <c r="U94" s="85"/>
    </row>
    <row r="95" spans="16:21" x14ac:dyDescent="0.25">
      <c r="P95" s="88"/>
      <c r="Q95" s="88"/>
      <c r="R95" s="88"/>
      <c r="S95" s="85"/>
      <c r="T95" s="85"/>
      <c r="U95" s="85"/>
    </row>
    <row r="96" spans="16:21" x14ac:dyDescent="0.25">
      <c r="P96" s="88"/>
      <c r="Q96" s="88"/>
      <c r="R96" s="88"/>
      <c r="S96" s="85"/>
      <c r="T96" s="85"/>
      <c r="U96" s="85"/>
    </row>
    <row r="97" spans="16:21" x14ac:dyDescent="0.25">
      <c r="P97" s="88"/>
      <c r="Q97" s="88"/>
      <c r="R97" s="88"/>
      <c r="S97" s="85"/>
      <c r="T97" s="85"/>
      <c r="U97" s="85"/>
    </row>
  </sheetData>
  <pageMargins left="0.75" right="0.75" top="1" bottom="1" header="0.5" footer="0.5"/>
  <pageSetup orientation="portrait" r:id="rId1"/>
  <headerFooter alignWithMargins="0"/>
  <customProperties>
    <customPr name="EpmWorksheetKeyString_GUID" r:id="rId2"/>
  </customPropertie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dimension ref="A1:E32"/>
  <sheetViews>
    <sheetView workbookViewId="0">
      <selection activeCell="A5" sqref="A5"/>
    </sheetView>
  </sheetViews>
  <sheetFormatPr defaultColWidth="8.5703125" defaultRowHeight="15" x14ac:dyDescent="0.25"/>
  <cols>
    <col min="1" max="1" width="22.140625" style="75" bestFit="1" customWidth="1"/>
    <col min="2" max="2" width="8.5703125" style="75"/>
    <col min="3" max="3" width="11.5703125" style="75" customWidth="1"/>
    <col min="4" max="4" width="11" style="75" bestFit="1" customWidth="1"/>
    <col min="5" max="16384" width="8.5703125" style="75"/>
  </cols>
  <sheetData>
    <row r="1" spans="1:5" x14ac:dyDescent="0.25">
      <c r="A1" s="76" t="s">
        <v>368</v>
      </c>
    </row>
    <row r="2" spans="1:5" x14ac:dyDescent="0.25">
      <c r="A2" s="45" t="s">
        <v>369</v>
      </c>
    </row>
    <row r="3" spans="1:5" x14ac:dyDescent="0.25">
      <c r="A3" s="78" t="s">
        <v>370</v>
      </c>
    </row>
    <row r="4" spans="1:5" x14ac:dyDescent="0.25">
      <c r="A4" s="79" t="s">
        <v>379</v>
      </c>
    </row>
    <row r="6" spans="1:5" x14ac:dyDescent="0.25">
      <c r="A6" s="1" t="s">
        <v>47</v>
      </c>
    </row>
    <row r="8" spans="1:5" x14ac:dyDescent="0.25">
      <c r="A8" s="3"/>
      <c r="B8" s="82" t="s">
        <v>48</v>
      </c>
      <c r="C8" s="82"/>
      <c r="D8" s="82"/>
      <c r="E8" s="82" t="s">
        <v>48</v>
      </c>
    </row>
    <row r="9" spans="1:5" x14ac:dyDescent="0.25">
      <c r="B9" s="82" t="s">
        <v>49</v>
      </c>
      <c r="C9" s="82"/>
      <c r="D9" s="82"/>
      <c r="E9" s="82" t="s">
        <v>49</v>
      </c>
    </row>
    <row r="10" spans="1:5" x14ac:dyDescent="0.25">
      <c r="A10" s="82" t="s">
        <v>3</v>
      </c>
      <c r="B10" s="82" t="s">
        <v>50</v>
      </c>
      <c r="C10" s="82" t="s">
        <v>51</v>
      </c>
      <c r="D10" s="82" t="s">
        <v>52</v>
      </c>
      <c r="E10" s="82" t="s">
        <v>20</v>
      </c>
    </row>
    <row r="11" spans="1:5" x14ac:dyDescent="0.25">
      <c r="A11" s="2" t="s">
        <v>7</v>
      </c>
      <c r="B11" s="2" t="s">
        <v>7</v>
      </c>
      <c r="C11" s="2" t="s">
        <v>53</v>
      </c>
      <c r="D11" s="2" t="s">
        <v>54</v>
      </c>
      <c r="E11" s="2" t="s">
        <v>7</v>
      </c>
    </row>
    <row r="12" spans="1:5" x14ac:dyDescent="0.25">
      <c r="E12" s="87">
        <v>0</v>
      </c>
    </row>
    <row r="13" spans="1:5" x14ac:dyDescent="0.25">
      <c r="A13" s="75">
        <v>1</v>
      </c>
      <c r="B13" s="85">
        <f>E12</f>
        <v>0</v>
      </c>
      <c r="C13" s="85">
        <f>'Table 7-27-TradFormatIncome'!K19</f>
        <v>-45579.539686939301</v>
      </c>
      <c r="D13" s="85">
        <f>'Table7- 31UL Asset Rollforward'!J12</f>
        <v>45579.539686939301</v>
      </c>
      <c r="E13" s="85">
        <f>E12+B13+C13+D13</f>
        <v>0</v>
      </c>
    </row>
    <row r="14" spans="1:5" x14ac:dyDescent="0.25">
      <c r="A14" s="75">
        <f>A13+1</f>
        <v>2</v>
      </c>
      <c r="B14" s="85">
        <f t="shared" ref="B14:B22" si="0">E13</f>
        <v>0</v>
      </c>
      <c r="C14" s="85">
        <f>'Table 7-27-TradFormatIncome'!K20</f>
        <v>-7504.9490960377152</v>
      </c>
      <c r="D14" s="85">
        <f>'Table7- 31UL Asset Rollforward'!J13</f>
        <v>7504.9490960377152</v>
      </c>
      <c r="E14" s="85">
        <f t="shared" ref="E14:E22" si="1">E13+B14+C14+D14</f>
        <v>0</v>
      </c>
    </row>
    <row r="15" spans="1:5" x14ac:dyDescent="0.25">
      <c r="A15" s="75">
        <f t="shared" ref="A15:A32" si="2">A14+1</f>
        <v>3</v>
      </c>
      <c r="B15" s="85">
        <f t="shared" si="0"/>
        <v>0</v>
      </c>
      <c r="C15" s="85">
        <f>'Table 7-27-TradFormatIncome'!K21</f>
        <v>25450.937642257486</v>
      </c>
      <c r="D15" s="85">
        <f>'Table7- 31UL Asset Rollforward'!J14</f>
        <v>-25450.937642257486</v>
      </c>
      <c r="E15" s="85">
        <f t="shared" si="1"/>
        <v>0</v>
      </c>
    </row>
    <row r="16" spans="1:5" x14ac:dyDescent="0.25">
      <c r="A16" s="75">
        <f t="shared" si="2"/>
        <v>4</v>
      </c>
      <c r="B16" s="85">
        <f t="shared" si="0"/>
        <v>0</v>
      </c>
      <c r="C16" s="85">
        <f>'Table 7-27-TradFormatIncome'!K22</f>
        <v>64031.05552808888</v>
      </c>
      <c r="D16" s="85">
        <f>'Table7- 31UL Asset Rollforward'!J15</f>
        <v>-64031.05552808888</v>
      </c>
      <c r="E16" s="85">
        <f t="shared" si="1"/>
        <v>0</v>
      </c>
    </row>
    <row r="17" spans="1:5" x14ac:dyDescent="0.25">
      <c r="A17" s="75">
        <f t="shared" si="2"/>
        <v>5</v>
      </c>
      <c r="B17" s="85">
        <f t="shared" si="0"/>
        <v>0</v>
      </c>
      <c r="C17" s="85">
        <f>'Table 7-27-TradFormatIncome'!K23</f>
        <v>95686.457922917471</v>
      </c>
      <c r="D17" s="85">
        <f>'Table7- 31UL Asset Rollforward'!J16</f>
        <v>-95686.457922917471</v>
      </c>
      <c r="E17" s="85">
        <f t="shared" si="1"/>
        <v>0</v>
      </c>
    </row>
    <row r="18" spans="1:5" x14ac:dyDescent="0.25">
      <c r="A18" s="75">
        <f t="shared" si="2"/>
        <v>6</v>
      </c>
      <c r="B18" s="85">
        <f t="shared" si="0"/>
        <v>0</v>
      </c>
      <c r="C18" s="85">
        <f>'Table 7-27-TradFormatIncome'!K24</f>
        <v>107721.02839886992</v>
      </c>
      <c r="D18" s="85">
        <f>'Table7- 31UL Asset Rollforward'!J17</f>
        <v>-107721.02839886992</v>
      </c>
      <c r="E18" s="85">
        <f t="shared" si="1"/>
        <v>0</v>
      </c>
    </row>
    <row r="19" spans="1:5" x14ac:dyDescent="0.25">
      <c r="A19" s="75">
        <f t="shared" si="2"/>
        <v>7</v>
      </c>
      <c r="B19" s="85">
        <f t="shared" si="0"/>
        <v>0</v>
      </c>
      <c r="C19" s="85">
        <f>'Table 7-27-TradFormatIncome'!K25</f>
        <v>119217.24296022973</v>
      </c>
      <c r="D19" s="85">
        <f>'Table7- 31UL Asset Rollforward'!J18</f>
        <v>-119217.24296022973</v>
      </c>
      <c r="E19" s="85">
        <f t="shared" si="1"/>
        <v>0</v>
      </c>
    </row>
    <row r="20" spans="1:5" x14ac:dyDescent="0.25">
      <c r="A20" s="75">
        <f t="shared" si="2"/>
        <v>8</v>
      </c>
      <c r="B20" s="85">
        <f t="shared" si="0"/>
        <v>0</v>
      </c>
      <c r="C20" s="85">
        <f>'Table 7-27-TradFormatIncome'!K26</f>
        <v>130106.36967717487</v>
      </c>
      <c r="D20" s="85">
        <f>'Table7- 31UL Asset Rollforward'!J19</f>
        <v>-130106.36967717487</v>
      </c>
      <c r="E20" s="85">
        <f t="shared" si="1"/>
        <v>0</v>
      </c>
    </row>
    <row r="21" spans="1:5" x14ac:dyDescent="0.25">
      <c r="A21" s="75">
        <f t="shared" si="2"/>
        <v>9</v>
      </c>
      <c r="B21" s="85">
        <f t="shared" si="0"/>
        <v>0</v>
      </c>
      <c r="C21" s="85">
        <f>'Table 7-27-TradFormatIncome'!K27</f>
        <v>141873.23988488974</v>
      </c>
      <c r="D21" s="85">
        <f>'Table7- 31UL Asset Rollforward'!J20</f>
        <v>-141873.23988488974</v>
      </c>
      <c r="E21" s="85">
        <f t="shared" si="1"/>
        <v>0</v>
      </c>
    </row>
    <row r="22" spans="1:5" x14ac:dyDescent="0.25">
      <c r="A22" s="75">
        <f t="shared" si="2"/>
        <v>10</v>
      </c>
      <c r="B22" s="85">
        <f t="shared" si="0"/>
        <v>0</v>
      </c>
      <c r="C22" s="85">
        <f>'Table 7-27-TradFormatIncome'!K28</f>
        <v>156861.62744795228</v>
      </c>
      <c r="D22" s="85">
        <f>'Table7- 31UL Asset Rollforward'!J21</f>
        <v>-156861.62744795228</v>
      </c>
      <c r="E22" s="85">
        <f t="shared" si="1"/>
        <v>0</v>
      </c>
    </row>
    <row r="23" spans="1:5" x14ac:dyDescent="0.25">
      <c r="A23" s="75">
        <f t="shared" si="2"/>
        <v>11</v>
      </c>
      <c r="B23" s="85">
        <f t="shared" ref="B23:B32" si="3">E22</f>
        <v>0</v>
      </c>
      <c r="C23" s="85">
        <f>'Table 7-27-TradFormatIncome'!K29</f>
        <v>179675.66216980555</v>
      </c>
      <c r="D23" s="85">
        <f>'Table7- 31UL Asset Rollforward'!J22</f>
        <v>-179675.66216980555</v>
      </c>
      <c r="E23" s="85">
        <f t="shared" ref="E23:E32" si="4">E22+B23+C23+D23</f>
        <v>0</v>
      </c>
    </row>
    <row r="24" spans="1:5" x14ac:dyDescent="0.25">
      <c r="A24" s="75">
        <f t="shared" si="2"/>
        <v>12</v>
      </c>
      <c r="B24" s="85">
        <f t="shared" si="3"/>
        <v>0</v>
      </c>
      <c r="C24" s="85">
        <f>'Table 7-27-TradFormatIncome'!K30</f>
        <v>213068.48755236785</v>
      </c>
      <c r="D24" s="85">
        <f>'Table7- 31UL Asset Rollforward'!J23</f>
        <v>-213068.48755236785</v>
      </c>
      <c r="E24" s="85">
        <f t="shared" si="4"/>
        <v>0</v>
      </c>
    </row>
    <row r="25" spans="1:5" x14ac:dyDescent="0.25">
      <c r="A25" s="75">
        <f t="shared" si="2"/>
        <v>13</v>
      </c>
      <c r="B25" s="85">
        <f t="shared" si="3"/>
        <v>0</v>
      </c>
      <c r="C25" s="85">
        <f>'Table 7-27-TradFormatIncome'!K31</f>
        <v>244045.88949283105</v>
      </c>
      <c r="D25" s="85">
        <f>'Table7- 31UL Asset Rollforward'!J24</f>
        <v>-244045.88949283105</v>
      </c>
      <c r="E25" s="85">
        <f t="shared" si="4"/>
        <v>0</v>
      </c>
    </row>
    <row r="26" spans="1:5" x14ac:dyDescent="0.25">
      <c r="A26" s="75">
        <f t="shared" si="2"/>
        <v>14</v>
      </c>
      <c r="B26" s="85">
        <f t="shared" si="3"/>
        <v>0</v>
      </c>
      <c r="C26" s="85">
        <f>'Table 7-27-TradFormatIncome'!K32</f>
        <v>272923.61087174539</v>
      </c>
      <c r="D26" s="85">
        <f>'Table7- 31UL Asset Rollforward'!J25</f>
        <v>-272923.61087174539</v>
      </c>
      <c r="E26" s="85">
        <f t="shared" si="4"/>
        <v>0</v>
      </c>
    </row>
    <row r="27" spans="1:5" x14ac:dyDescent="0.25">
      <c r="A27" s="75">
        <f t="shared" si="2"/>
        <v>15</v>
      </c>
      <c r="B27" s="85">
        <f t="shared" si="3"/>
        <v>0</v>
      </c>
      <c r="C27" s="85">
        <f>'Table 7-27-TradFormatIncome'!K33</f>
        <v>299793.45058073592</v>
      </c>
      <c r="D27" s="85">
        <f>'Table7- 31UL Asset Rollforward'!J26</f>
        <v>-299793.45058073592</v>
      </c>
      <c r="E27" s="85">
        <f t="shared" si="4"/>
        <v>0</v>
      </c>
    </row>
    <row r="28" spans="1:5" x14ac:dyDescent="0.25">
      <c r="A28" s="75">
        <f t="shared" si="2"/>
        <v>16</v>
      </c>
      <c r="B28" s="85">
        <f t="shared" si="3"/>
        <v>0</v>
      </c>
      <c r="C28" s="85">
        <f>'Table 7-27-TradFormatIncome'!K34</f>
        <v>324642.37333912775</v>
      </c>
      <c r="D28" s="85">
        <f>'Table7- 31UL Asset Rollforward'!J27</f>
        <v>-324642.37333912775</v>
      </c>
      <c r="E28" s="85">
        <f t="shared" si="4"/>
        <v>0</v>
      </c>
    </row>
    <row r="29" spans="1:5" x14ac:dyDescent="0.25">
      <c r="A29" s="75">
        <f t="shared" si="2"/>
        <v>17</v>
      </c>
      <c r="B29" s="85">
        <f t="shared" si="3"/>
        <v>0</v>
      </c>
      <c r="C29" s="85">
        <f>'Table 7-27-TradFormatIncome'!K35</f>
        <v>347774.99203928083</v>
      </c>
      <c r="D29" s="85">
        <f>'Table7- 31UL Asset Rollforward'!J28</f>
        <v>-347774.99203928083</v>
      </c>
      <c r="E29" s="85">
        <f t="shared" si="4"/>
        <v>0</v>
      </c>
    </row>
    <row r="30" spans="1:5" x14ac:dyDescent="0.25">
      <c r="A30" s="75">
        <f t="shared" si="2"/>
        <v>18</v>
      </c>
      <c r="B30" s="85">
        <f t="shared" si="3"/>
        <v>0</v>
      </c>
      <c r="C30" s="85">
        <f>'Table 7-27-TradFormatIncome'!K36</f>
        <v>369066.87061482901</v>
      </c>
      <c r="D30" s="85">
        <f>'Table7- 31UL Asset Rollforward'!J29</f>
        <v>-369066.87061482901</v>
      </c>
      <c r="E30" s="85">
        <f t="shared" si="4"/>
        <v>0</v>
      </c>
    </row>
    <row r="31" spans="1:5" x14ac:dyDescent="0.25">
      <c r="A31" s="75">
        <f t="shared" si="2"/>
        <v>19</v>
      </c>
      <c r="B31" s="85">
        <f t="shared" si="3"/>
        <v>0</v>
      </c>
      <c r="C31" s="85">
        <f>'Table 7-27-TradFormatIncome'!K37</f>
        <v>388616.37416808389</v>
      </c>
      <c r="D31" s="85">
        <f>'Table7- 31UL Asset Rollforward'!J30</f>
        <v>-388616.37416808389</v>
      </c>
      <c r="E31" s="85">
        <f t="shared" si="4"/>
        <v>0</v>
      </c>
    </row>
    <row r="32" spans="1:5" x14ac:dyDescent="0.25">
      <c r="A32" s="75">
        <f t="shared" si="2"/>
        <v>20</v>
      </c>
      <c r="B32" s="85">
        <f t="shared" si="3"/>
        <v>0</v>
      </c>
      <c r="C32" s="85">
        <f>'Table 7-27-TradFormatIncome'!K38</f>
        <v>406508.27511261456</v>
      </c>
      <c r="D32" s="85">
        <f>'Table7- 31UL Asset Rollforward'!J31</f>
        <v>-406508.27511261456</v>
      </c>
      <c r="E32" s="85">
        <f t="shared" si="4"/>
        <v>0</v>
      </c>
    </row>
  </sheetData>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FF454-8272-E747-B49A-2D92D4F11B76}">
  <sheetPr codeName="Sheet3"/>
  <dimension ref="A1:N24"/>
  <sheetViews>
    <sheetView showGridLines="0" workbookViewId="0">
      <selection activeCell="F38" sqref="F38"/>
    </sheetView>
  </sheetViews>
  <sheetFormatPr defaultColWidth="11.5703125" defaultRowHeight="15" x14ac:dyDescent="0.25"/>
  <cols>
    <col min="1" max="3" width="11.5703125" style="75"/>
    <col min="4" max="4" width="13.42578125" style="75" bestFit="1" customWidth="1"/>
    <col min="5" max="10" width="11.5703125" style="75"/>
    <col min="11" max="11" width="12.140625" style="75" customWidth="1"/>
    <col min="12" max="12" width="10" style="75" customWidth="1"/>
    <col min="13" max="13" width="11.42578125" style="75" customWidth="1"/>
    <col min="14" max="14" width="11.140625" style="75" customWidth="1"/>
    <col min="15" max="16384" width="11.5703125" style="75"/>
  </cols>
  <sheetData>
    <row r="1" spans="1:14" x14ac:dyDescent="0.25">
      <c r="A1" s="76" t="s">
        <v>368</v>
      </c>
    </row>
    <row r="2" spans="1:14" x14ac:dyDescent="0.25">
      <c r="A2" s="45" t="s">
        <v>369</v>
      </c>
    </row>
    <row r="3" spans="1:14" x14ac:dyDescent="0.25">
      <c r="A3" s="78" t="s">
        <v>370</v>
      </c>
    </row>
    <row r="4" spans="1:14" x14ac:dyDescent="0.25">
      <c r="A4" s="79" t="s">
        <v>379</v>
      </c>
    </row>
    <row r="6" spans="1:14" x14ac:dyDescent="0.25">
      <c r="A6" s="1" t="s">
        <v>264</v>
      </c>
    </row>
    <row r="7" spans="1:14" x14ac:dyDescent="0.25">
      <c r="A7" s="1" t="s">
        <v>46</v>
      </c>
    </row>
    <row r="8" spans="1:14" x14ac:dyDescent="0.25">
      <c r="A8" s="1" t="s">
        <v>55</v>
      </c>
    </row>
    <row r="9" spans="1:14" ht="15.75" thickBot="1" x14ac:dyDescent="0.3"/>
    <row r="10" spans="1:14" x14ac:dyDescent="0.25">
      <c r="B10" s="417" t="str">
        <f>A6</f>
        <v>Table 7-1</v>
      </c>
      <c r="C10" s="418"/>
      <c r="D10" s="418"/>
      <c r="E10" s="418"/>
      <c r="F10" s="418"/>
      <c r="G10" s="418"/>
      <c r="H10" s="418"/>
      <c r="I10" s="418"/>
      <c r="J10" s="418"/>
      <c r="K10" s="419"/>
    </row>
    <row r="11" spans="1:14" ht="15.75" thickBot="1" x14ac:dyDescent="0.3">
      <c r="B11" s="414" t="s">
        <v>55</v>
      </c>
      <c r="C11" s="415"/>
      <c r="D11" s="415"/>
      <c r="E11" s="415"/>
      <c r="F11" s="415"/>
      <c r="G11" s="415"/>
      <c r="H11" s="415"/>
      <c r="I11" s="415"/>
      <c r="J11" s="415"/>
      <c r="K11" s="416"/>
    </row>
    <row r="12" spans="1:14" x14ac:dyDescent="0.25">
      <c r="B12" s="97" t="s">
        <v>56</v>
      </c>
      <c r="C12" s="97" t="s">
        <v>57</v>
      </c>
      <c r="D12" s="97" t="s">
        <v>58</v>
      </c>
      <c r="E12" s="97" t="s">
        <v>59</v>
      </c>
      <c r="F12" s="97" t="s">
        <v>60</v>
      </c>
      <c r="G12" s="97" t="s">
        <v>61</v>
      </c>
      <c r="H12" s="97" t="s">
        <v>62</v>
      </c>
      <c r="I12" s="97" t="s">
        <v>63</v>
      </c>
      <c r="J12" s="97" t="s">
        <v>64</v>
      </c>
      <c r="K12" s="97" t="s">
        <v>65</v>
      </c>
    </row>
    <row r="13" spans="1:14" s="98" customFormat="1" ht="45.75" thickBot="1" x14ac:dyDescent="0.3">
      <c r="B13" s="99" t="s">
        <v>66</v>
      </c>
      <c r="C13" s="99" t="s">
        <v>67</v>
      </c>
      <c r="D13" s="99" t="s">
        <v>68</v>
      </c>
      <c r="E13" s="99" t="s">
        <v>69</v>
      </c>
      <c r="F13" s="99" t="s">
        <v>70</v>
      </c>
      <c r="G13" s="99" t="s">
        <v>71</v>
      </c>
      <c r="H13" s="99" t="s">
        <v>27</v>
      </c>
      <c r="I13" s="99" t="s">
        <v>72</v>
      </c>
      <c r="J13" s="99" t="s">
        <v>73</v>
      </c>
      <c r="K13" s="99" t="s">
        <v>74</v>
      </c>
      <c r="L13" s="75"/>
      <c r="M13" s="75"/>
      <c r="N13" s="75"/>
    </row>
    <row r="14" spans="1:14" x14ac:dyDescent="0.25">
      <c r="B14" s="100"/>
      <c r="C14" s="101"/>
      <c r="D14" s="101"/>
      <c r="E14" s="101"/>
      <c r="F14" s="101"/>
      <c r="G14" s="101"/>
      <c r="H14" s="101"/>
      <c r="I14" s="101"/>
      <c r="J14" s="101"/>
      <c r="K14" s="102"/>
    </row>
    <row r="15" spans="1:14" x14ac:dyDescent="0.25">
      <c r="B15" s="103">
        <v>1</v>
      </c>
      <c r="C15" s="90">
        <f>'Tables 26a,b-MasterInputs'!C31</f>
        <v>35</v>
      </c>
      <c r="D15" s="104">
        <f>'Tables 26a,b-MasterInputs'!F56</f>
        <v>0.02</v>
      </c>
      <c r="E15" s="89">
        <f>'Tables 26a,b-MasterInputs'!G56</f>
        <v>20</v>
      </c>
      <c r="F15" s="105">
        <f>'Tables 26a,b-MasterInputs'!E56</f>
        <v>1.6000000000000001E-3</v>
      </c>
      <c r="G15" s="106">
        <f>'Tables 26a,b-MasterInputs'!F31</f>
        <v>2.75E-2</v>
      </c>
      <c r="H15" s="107">
        <f>E15/'Tables 26a,b-MasterInputs'!$D$14+D15*C15</f>
        <v>0.90000000000000013</v>
      </c>
      <c r="I15" s="107">
        <f>(1000/(1+'Tables 26a,b-MasterInputs'!E31)-(K14+C15-H15))*F15</f>
        <v>1.5064156097560979</v>
      </c>
      <c r="J15" s="90">
        <f t="shared" ref="J15:J24" si="0">(K14+C15-H15-I15)*G15</f>
        <v>0.89632357073170743</v>
      </c>
      <c r="K15" s="108">
        <f>K14+C15-H15-I15+J15</f>
        <v>33.489907960975614</v>
      </c>
    </row>
    <row r="16" spans="1:14" x14ac:dyDescent="0.25">
      <c r="B16" s="103">
        <f t="shared" ref="B16:B24" si="1">B15+1</f>
        <v>2</v>
      </c>
      <c r="C16" s="90">
        <f>'Tables 26a,b-MasterInputs'!C32</f>
        <v>35</v>
      </c>
      <c r="D16" s="104">
        <f>'Tables 26a,b-MasterInputs'!F57</f>
        <v>0.02</v>
      </c>
      <c r="E16" s="89">
        <f>'Tables 26a,b-MasterInputs'!G57</f>
        <v>20</v>
      </c>
      <c r="F16" s="105">
        <f>'Tables 26a,b-MasterInputs'!E57</f>
        <v>2.2000000000000001E-3</v>
      </c>
      <c r="G16" s="106">
        <f>'Tables 26a,b-MasterInputs'!F32</f>
        <v>2.75E-2</v>
      </c>
      <c r="H16" s="107">
        <f>E16/'Tables 26a,b-MasterInputs'!$D$14+D16*C16</f>
        <v>0.90000000000000013</v>
      </c>
      <c r="I16" s="107">
        <f>(1000/(1+'Tables 26a,b-MasterInputs'!E32)-(K15+C16-H16))*F16</f>
        <v>1.9976436659004884</v>
      </c>
      <c r="J16" s="90">
        <f t="shared" si="0"/>
        <v>1.8037872681145659</v>
      </c>
      <c r="K16" s="108">
        <f t="shared" ref="K16:K24" si="2">K15+C16-H16-I16+J16</f>
        <v>67.396051563189687</v>
      </c>
    </row>
    <row r="17" spans="2:11" x14ac:dyDescent="0.25">
      <c r="B17" s="103">
        <f t="shared" si="1"/>
        <v>3</v>
      </c>
      <c r="C17" s="90">
        <f>'Tables 26a,b-MasterInputs'!C33</f>
        <v>35</v>
      </c>
      <c r="D17" s="104">
        <f>'Tables 26a,b-MasterInputs'!F58</f>
        <v>0.02</v>
      </c>
      <c r="E17" s="89">
        <f>'Tables 26a,b-MasterInputs'!G58</f>
        <v>20</v>
      </c>
      <c r="F17" s="105">
        <f>'Tables 26a,b-MasterInputs'!E58</f>
        <v>2.8600000000000001E-3</v>
      </c>
      <c r="G17" s="106">
        <f>'Tables 26a,b-MasterInputs'!F33</f>
        <v>2.75E-2</v>
      </c>
      <c r="H17" s="107">
        <f>E17/'Tables 26a,b-MasterInputs'!$D$14+D17*C17</f>
        <v>0.90000000000000013</v>
      </c>
      <c r="I17" s="107">
        <f>(1000/(1+'Tables 26a,b-MasterInputs'!E33)-(K16+C17-H17))*F17</f>
        <v>2.4999651949683024</v>
      </c>
      <c r="J17" s="90">
        <f t="shared" si="0"/>
        <v>2.7223923751260881</v>
      </c>
      <c r="K17" s="108">
        <f t="shared" si="2"/>
        <v>101.71847874334748</v>
      </c>
    </row>
    <row r="18" spans="2:11" x14ac:dyDescent="0.25">
      <c r="B18" s="103">
        <f t="shared" si="1"/>
        <v>4</v>
      </c>
      <c r="C18" s="90">
        <f>'Tables 26a,b-MasterInputs'!C34</f>
        <v>35</v>
      </c>
      <c r="D18" s="104">
        <f>'Tables 26a,b-MasterInputs'!F59</f>
        <v>0.02</v>
      </c>
      <c r="E18" s="89">
        <f>'Tables 26a,b-MasterInputs'!G59</f>
        <v>20</v>
      </c>
      <c r="F18" s="105">
        <f>'Tables 26a,b-MasterInputs'!E59</f>
        <v>3.4199999999999999E-3</v>
      </c>
      <c r="G18" s="106">
        <f>'Tables 26a,b-MasterInputs'!F34</f>
        <v>2.75E-2</v>
      </c>
      <c r="H18" s="107">
        <f>E18/'Tables 26a,b-MasterInputs'!$D$14+D18*C18</f>
        <v>0.90000000000000013</v>
      </c>
      <c r="I18" s="107">
        <f>(1000/(1+'Tables 26a,b-MasterInputs'!E34)-(K17+C18-H18))*F18</f>
        <v>2.8720861685514105</v>
      </c>
      <c r="J18" s="90">
        <f t="shared" si="0"/>
        <v>3.6560257958068916</v>
      </c>
      <c r="K18" s="108">
        <f t="shared" si="2"/>
        <v>136.60241837060295</v>
      </c>
    </row>
    <row r="19" spans="2:11" x14ac:dyDescent="0.25">
      <c r="B19" s="103">
        <f t="shared" si="1"/>
        <v>5</v>
      </c>
      <c r="C19" s="90">
        <f>'Tables 26a,b-MasterInputs'!C35</f>
        <v>35</v>
      </c>
      <c r="D19" s="104">
        <f>'Tables 26a,b-MasterInputs'!F60</f>
        <v>0.02</v>
      </c>
      <c r="E19" s="89">
        <f>'Tables 26a,b-MasterInputs'!G60</f>
        <v>20</v>
      </c>
      <c r="F19" s="105">
        <f>'Tables 26a,b-MasterInputs'!E60</f>
        <v>3.8800000000000002E-3</v>
      </c>
      <c r="G19" s="106">
        <f>'Tables 26a,b-MasterInputs'!F35</f>
        <v>2.75E-2</v>
      </c>
      <c r="H19" s="107">
        <f>E19/'Tables 26a,b-MasterInputs'!$D$14+D19*C19</f>
        <v>0.90000000000000013</v>
      </c>
      <c r="I19" s="107">
        <f>(1000/(1+'Tables 26a,b-MasterInputs'!E35)-(K18+C19-H19))*F19</f>
        <v>3.1230404703805981</v>
      </c>
      <c r="J19" s="90">
        <f t="shared" si="0"/>
        <v>4.608432892256114</v>
      </c>
      <c r="K19" s="108">
        <f t="shared" si="2"/>
        <v>172.18781079247844</v>
      </c>
    </row>
    <row r="20" spans="2:11" x14ac:dyDescent="0.25">
      <c r="B20" s="103">
        <f t="shared" si="1"/>
        <v>6</v>
      </c>
      <c r="C20" s="90">
        <f>'Tables 26a,b-MasterInputs'!C36</f>
        <v>35</v>
      </c>
      <c r="D20" s="104">
        <f>'Tables 26a,b-MasterInputs'!F61</f>
        <v>0.02</v>
      </c>
      <c r="E20" s="89">
        <f>'Tables 26a,b-MasterInputs'!G61</f>
        <v>20</v>
      </c>
      <c r="F20" s="105">
        <f>'Tables 26a,b-MasterInputs'!E61</f>
        <v>3.9960000000000004E-3</v>
      </c>
      <c r="G20" s="106">
        <f>'Tables 26a,b-MasterInputs'!F36</f>
        <v>2.75E-2</v>
      </c>
      <c r="H20" s="107">
        <f>E20/'Tables 26a,b-MasterInputs'!$D$14+D20*C20</f>
        <v>0.90000000000000013</v>
      </c>
      <c r="I20" s="107">
        <f>(1000/(1+'Tables 26a,b-MasterInputs'!E36)-(K19+C20-H20))*F20</f>
        <v>3.0742104934391103</v>
      </c>
      <c r="J20" s="90">
        <f t="shared" si="0"/>
        <v>5.5883740082235818</v>
      </c>
      <c r="K20" s="108">
        <f t="shared" si="2"/>
        <v>208.80197430726292</v>
      </c>
    </row>
    <row r="21" spans="2:11" x14ac:dyDescent="0.25">
      <c r="B21" s="103">
        <f t="shared" si="1"/>
        <v>7</v>
      </c>
      <c r="C21" s="90">
        <f>'Tables 26a,b-MasterInputs'!C37</f>
        <v>35</v>
      </c>
      <c r="D21" s="104">
        <f>'Tables 26a,b-MasterInputs'!F62</f>
        <v>0.02</v>
      </c>
      <c r="E21" s="89">
        <f>'Tables 26a,b-MasterInputs'!G62</f>
        <v>20</v>
      </c>
      <c r="F21" s="105">
        <f>'Tables 26a,b-MasterInputs'!E62</f>
        <v>4.0480000000000004E-3</v>
      </c>
      <c r="G21" s="106">
        <f>'Tables 26a,b-MasterInputs'!F37</f>
        <v>2.75E-2</v>
      </c>
      <c r="H21" s="107">
        <f>E21/'Tables 26a,b-MasterInputs'!$D$14+D21*C21</f>
        <v>0.90000000000000013</v>
      </c>
      <c r="I21" s="107">
        <f>(1000/(1+'Tables 26a,b-MasterInputs'!E37)-(K20+C21-H21))*F21</f>
        <v>2.9660011006871274</v>
      </c>
      <c r="J21" s="90">
        <f t="shared" si="0"/>
        <v>6.598239263180834</v>
      </c>
      <c r="K21" s="108">
        <f t="shared" si="2"/>
        <v>246.53421246975662</v>
      </c>
    </row>
    <row r="22" spans="2:11" x14ac:dyDescent="0.25">
      <c r="B22" s="103">
        <f t="shared" si="1"/>
        <v>8</v>
      </c>
      <c r="C22" s="90">
        <f>'Tables 26a,b-MasterInputs'!C38</f>
        <v>35</v>
      </c>
      <c r="D22" s="104">
        <f>'Tables 26a,b-MasterInputs'!F63</f>
        <v>0.02</v>
      </c>
      <c r="E22" s="89">
        <f>'Tables 26a,b-MasterInputs'!G63</f>
        <v>20</v>
      </c>
      <c r="F22" s="105">
        <f>'Tables 26a,b-MasterInputs'!E63</f>
        <v>3.9620000000000002E-3</v>
      </c>
      <c r="G22" s="106">
        <f>'Tables 26a,b-MasterInputs'!F38</f>
        <v>2.75E-2</v>
      </c>
      <c r="H22" s="107">
        <f>E22/'Tables 26a,b-MasterInputs'!$D$14+D22*C22</f>
        <v>0.90000000000000013</v>
      </c>
      <c r="I22" s="107">
        <f>(1000/(1+'Tables 26a,b-MasterInputs'!E38)-(K21+C22-H22))*F22</f>
        <v>2.7534931038533612</v>
      </c>
      <c r="J22" s="90">
        <f t="shared" si="0"/>
        <v>7.6417197825623413</v>
      </c>
      <c r="K22" s="108">
        <f t="shared" si="2"/>
        <v>285.52243914846565</v>
      </c>
    </row>
    <row r="23" spans="2:11" x14ac:dyDescent="0.25">
      <c r="B23" s="103">
        <f t="shared" si="1"/>
        <v>9</v>
      </c>
      <c r="C23" s="90">
        <f>'Tables 26a,b-MasterInputs'!C39</f>
        <v>35</v>
      </c>
      <c r="D23" s="104">
        <f>'Tables 26a,b-MasterInputs'!F64</f>
        <v>0.02</v>
      </c>
      <c r="E23" s="89">
        <f>'Tables 26a,b-MasterInputs'!G64</f>
        <v>20</v>
      </c>
      <c r="F23" s="105">
        <f>'Tables 26a,b-MasterInputs'!E64</f>
        <v>3.7319999999999996E-3</v>
      </c>
      <c r="G23" s="106">
        <f>'Tables 26a,b-MasterInputs'!F39</f>
        <v>2.75E-2</v>
      </c>
      <c r="H23" s="107">
        <f>E23/'Tables 26a,b-MasterInputs'!$D$14+D23*C23</f>
        <v>0.90000000000000013</v>
      </c>
      <c r="I23" s="107">
        <f>(1000/(1+'Tables 26a,b-MasterInputs'!E39)-(K22+C23-H23))*F23</f>
        <v>2.4481446668540241</v>
      </c>
      <c r="J23" s="90">
        <f t="shared" si="0"/>
        <v>8.7222930982443199</v>
      </c>
      <c r="K23" s="108">
        <f t="shared" si="2"/>
        <v>325.89658757985598</v>
      </c>
    </row>
    <row r="24" spans="2:11" ht="15.75" thickBot="1" x14ac:dyDescent="0.3">
      <c r="B24" s="109">
        <f t="shared" si="1"/>
        <v>10</v>
      </c>
      <c r="C24" s="110">
        <f>'Tables 26a,b-MasterInputs'!C40</f>
        <v>35</v>
      </c>
      <c r="D24" s="111">
        <f>'Tables 26a,b-MasterInputs'!F65</f>
        <v>0.02</v>
      </c>
      <c r="E24" s="112">
        <f>'Tables 26a,b-MasterInputs'!G65</f>
        <v>20</v>
      </c>
      <c r="F24" s="113">
        <f>'Tables 26a,b-MasterInputs'!E65</f>
        <v>3.4499999999999999E-3</v>
      </c>
      <c r="G24" s="114">
        <f>'Tables 26a,b-MasterInputs'!F40</f>
        <v>2.75E-2</v>
      </c>
      <c r="H24" s="115">
        <f>E24/'Tables 26a,b-MasterInputs'!$D$14+D24*C24</f>
        <v>0.90000000000000013</v>
      </c>
      <c r="I24" s="115">
        <f>(1000/(1+'Tables 26a,b-MasterInputs'!E40)-(K23+C24-H24))*F24</f>
        <v>2.1238654313860827</v>
      </c>
      <c r="J24" s="110">
        <f t="shared" si="0"/>
        <v>9.8414998590829228</v>
      </c>
      <c r="K24" s="116">
        <f t="shared" si="2"/>
        <v>367.71422200755285</v>
      </c>
    </row>
  </sheetData>
  <mergeCells count="2">
    <mergeCell ref="B11:K11"/>
    <mergeCell ref="B10:K10"/>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FDA02-64EC-914A-8A2E-234799E3206D}">
  <sheetPr codeName="Sheet4"/>
  <dimension ref="A1:U49"/>
  <sheetViews>
    <sheetView showGridLines="0" zoomScaleNormal="100" workbookViewId="0">
      <selection activeCell="A5" sqref="A5"/>
    </sheetView>
  </sheetViews>
  <sheetFormatPr defaultColWidth="11.5703125" defaultRowHeight="15" x14ac:dyDescent="0.25"/>
  <cols>
    <col min="1" max="3" width="11.5703125" style="75"/>
    <col min="4" max="4" width="13.42578125" style="75" bestFit="1" customWidth="1"/>
    <col min="5" max="11" width="11.5703125" style="75"/>
    <col min="12" max="12" width="12.5703125" style="75" customWidth="1"/>
    <col min="13" max="13" width="20.5703125" style="75" bestFit="1" customWidth="1"/>
    <col min="14" max="14" width="20.5703125" style="75" customWidth="1"/>
    <col min="15" max="16" width="11.5703125" style="75"/>
    <col min="17" max="17" width="12.140625" style="75" bestFit="1" customWidth="1"/>
    <col min="18" max="18" width="10" style="75" customWidth="1"/>
    <col min="19" max="19" width="11.42578125" style="75" customWidth="1"/>
    <col min="20" max="20" width="11.140625" style="75" customWidth="1"/>
    <col min="21" max="16384" width="11.5703125" style="75"/>
  </cols>
  <sheetData>
    <row r="1" spans="1:20" x14ac:dyDescent="0.25">
      <c r="A1" s="76" t="s">
        <v>368</v>
      </c>
    </row>
    <row r="2" spans="1:20" x14ac:dyDescent="0.25">
      <c r="A2" s="45" t="s">
        <v>369</v>
      </c>
    </row>
    <row r="3" spans="1:20" x14ac:dyDescent="0.25">
      <c r="A3" s="78" t="s">
        <v>370</v>
      </c>
    </row>
    <row r="4" spans="1:20" x14ac:dyDescent="0.25">
      <c r="A4" s="79" t="s">
        <v>379</v>
      </c>
    </row>
    <row r="6" spans="1:20" x14ac:dyDescent="0.25">
      <c r="A6" s="1" t="s">
        <v>265</v>
      </c>
    </row>
    <row r="7" spans="1:20" x14ac:dyDescent="0.25">
      <c r="A7" s="1" t="s">
        <v>46</v>
      </c>
    </row>
    <row r="8" spans="1:20" x14ac:dyDescent="0.25">
      <c r="A8" s="1" t="s">
        <v>75</v>
      </c>
    </row>
    <row r="10" spans="1:20" ht="15.75" thickBot="1" x14ac:dyDescent="0.3">
      <c r="B10" s="82"/>
      <c r="C10" s="420" t="s">
        <v>55</v>
      </c>
      <c r="D10" s="420"/>
      <c r="E10" s="420"/>
      <c r="F10" s="420"/>
      <c r="G10" s="420"/>
      <c r="H10" s="420"/>
      <c r="I10" s="420"/>
      <c r="J10" s="420"/>
      <c r="K10" s="420"/>
      <c r="L10" s="420"/>
      <c r="M10" s="420"/>
      <c r="N10" s="420"/>
      <c r="O10" s="420"/>
      <c r="P10" s="420"/>
    </row>
    <row r="11" spans="1:20" s="98" customFormat="1" ht="75.75" thickBot="1" x14ac:dyDescent="0.3">
      <c r="A11" s="117"/>
      <c r="B11" s="118" t="s">
        <v>76</v>
      </c>
      <c r="C11" s="118" t="s">
        <v>67</v>
      </c>
      <c r="D11" s="118" t="s">
        <v>68</v>
      </c>
      <c r="E11" s="118" t="s">
        <v>77</v>
      </c>
      <c r="F11" s="118" t="s">
        <v>78</v>
      </c>
      <c r="G11" s="118" t="s">
        <v>71</v>
      </c>
      <c r="H11" s="118" t="s">
        <v>79</v>
      </c>
      <c r="I11" s="118" t="s">
        <v>27</v>
      </c>
      <c r="J11" s="118" t="s">
        <v>72</v>
      </c>
      <c r="K11" s="118" t="s">
        <v>73</v>
      </c>
      <c r="L11" s="118" t="s">
        <v>80</v>
      </c>
      <c r="M11" s="118" t="s">
        <v>74</v>
      </c>
      <c r="N11" s="118" t="s">
        <v>81</v>
      </c>
      <c r="O11" s="118" t="s">
        <v>82</v>
      </c>
      <c r="P11" s="118" t="s">
        <v>83</v>
      </c>
      <c r="Q11" s="118" t="s">
        <v>84</v>
      </c>
      <c r="R11" s="118" t="s">
        <v>85</v>
      </c>
      <c r="S11" s="118" t="s">
        <v>86</v>
      </c>
      <c r="T11" s="118" t="s">
        <v>87</v>
      </c>
    </row>
    <row r="12" spans="1:20" x14ac:dyDescent="0.25">
      <c r="B12" s="103"/>
      <c r="Q12" s="119">
        <f>'Actuarial balances'!H14</f>
        <v>100000</v>
      </c>
      <c r="T12" s="120"/>
    </row>
    <row r="13" spans="1:20" x14ac:dyDescent="0.25">
      <c r="B13" s="103">
        <v>1</v>
      </c>
      <c r="C13" s="90">
        <f>'Tables 26a,b-MasterInputs'!C31</f>
        <v>35</v>
      </c>
      <c r="D13" s="104">
        <f>'Tables 26a,b-MasterInputs'!F56</f>
        <v>0.02</v>
      </c>
      <c r="E13" s="89">
        <f>'Tables 26a,b-MasterInputs'!G56</f>
        <v>20</v>
      </c>
      <c r="F13" s="105">
        <f>'Tables 26a,b-MasterInputs'!E56</f>
        <v>1.6000000000000001E-3</v>
      </c>
      <c r="G13" s="106">
        <f>'Tables 26a,b-MasterInputs'!F31</f>
        <v>2.75E-2</v>
      </c>
      <c r="H13" s="106"/>
      <c r="I13" s="107">
        <f>E13/'Tables 26a,b-MasterInputs'!$D$14+D13*C13</f>
        <v>0.90000000000000013</v>
      </c>
      <c r="J13" s="107">
        <f>(1000/(1+'Tables 26a,b-MasterInputs'!E31)-(M12+C13-I13))*F13</f>
        <v>1.5064156097560979</v>
      </c>
      <c r="K13" s="90">
        <f t="shared" ref="K13:K32" si="0">(M12+C13-I13-J13)*G13</f>
        <v>0.89632357073170743</v>
      </c>
      <c r="M13" s="90">
        <f t="shared" ref="M13:M32" si="1">M12+C13-I13-J13+K13+L13</f>
        <v>33.489907960975614</v>
      </c>
      <c r="N13" s="90">
        <v>1</v>
      </c>
      <c r="O13" s="90">
        <f>L22*N23/SUM(N13:N22)</f>
        <v>1.5789294483314078</v>
      </c>
      <c r="P13" s="107">
        <f>(P12+O13)*(1+G13)</f>
        <v>1.6223500081605216</v>
      </c>
      <c r="Q13" s="119">
        <f>'Actuarial balances'!H15</f>
        <v>84932</v>
      </c>
      <c r="R13" s="92">
        <f>Q13/Q$12</f>
        <v>0.84931999999999996</v>
      </c>
      <c r="S13" s="90">
        <f>R13*P13</f>
        <v>1.3778943089308942</v>
      </c>
      <c r="T13" s="121">
        <f>L13*R13</f>
        <v>0</v>
      </c>
    </row>
    <row r="14" spans="1:20" x14ac:dyDescent="0.25">
      <c r="B14" s="103">
        <f t="shared" ref="B14:B32" si="2">B13+1</f>
        <v>2</v>
      </c>
      <c r="C14" s="90">
        <f>'Tables 26a,b-MasterInputs'!C32</f>
        <v>35</v>
      </c>
      <c r="D14" s="104">
        <f>'Tables 26a,b-MasterInputs'!F57</f>
        <v>0.02</v>
      </c>
      <c r="E14" s="89">
        <f>'Tables 26a,b-MasterInputs'!G57</f>
        <v>20</v>
      </c>
      <c r="F14" s="105">
        <f>'Tables 26a,b-MasterInputs'!E57</f>
        <v>2.2000000000000001E-3</v>
      </c>
      <c r="G14" s="106">
        <f>'Tables 26a,b-MasterInputs'!F32</f>
        <v>2.75E-2</v>
      </c>
      <c r="H14" s="106"/>
      <c r="I14" s="107">
        <f>E14/'Tables 26a,b-MasterInputs'!$D$14+D14*C14</f>
        <v>0.90000000000000013</v>
      </c>
      <c r="J14" s="107">
        <f>(1000/(1+'Tables 26a,b-MasterInputs'!E32)-(M13+C14-I14))*F14</f>
        <v>1.9976436659004884</v>
      </c>
      <c r="K14" s="90">
        <f t="shared" si="0"/>
        <v>1.8037872681145659</v>
      </c>
      <c r="M14" s="90">
        <f t="shared" si="1"/>
        <v>67.396051563189687</v>
      </c>
      <c r="N14" s="90">
        <f>N13/(1+G13)</f>
        <v>0.97323600973236002</v>
      </c>
      <c r="O14" s="90">
        <f>O13</f>
        <v>1.5789294483314078</v>
      </c>
      <c r="P14" s="107">
        <f t="shared" ref="P14:P22" si="3">(P13+O14)*(1+G14)</f>
        <v>3.2893146415454573</v>
      </c>
      <c r="Q14" s="119">
        <f>'Actuarial balances'!H16</f>
        <v>74657.945823999995</v>
      </c>
      <c r="R14" s="92">
        <f t="shared" ref="R14:R32" si="4">Q14/Q$12</f>
        <v>0.74657945823999994</v>
      </c>
      <c r="S14" s="90">
        <f t="shared" ref="S14:S32" si="5">R14*P14</f>
        <v>2.4557347430659071</v>
      </c>
      <c r="T14" s="121">
        <f t="shared" ref="T14:T32" si="6">L14*R14</f>
        <v>0</v>
      </c>
    </row>
    <row r="15" spans="1:20" x14ac:dyDescent="0.25">
      <c r="B15" s="103">
        <f t="shared" si="2"/>
        <v>3</v>
      </c>
      <c r="C15" s="90">
        <f>'Tables 26a,b-MasterInputs'!C33</f>
        <v>35</v>
      </c>
      <c r="D15" s="104">
        <f>'Tables 26a,b-MasterInputs'!F58</f>
        <v>0.02</v>
      </c>
      <c r="E15" s="89">
        <f>'Tables 26a,b-MasterInputs'!G58</f>
        <v>20</v>
      </c>
      <c r="F15" s="105">
        <f>'Tables 26a,b-MasterInputs'!E58</f>
        <v>2.8600000000000001E-3</v>
      </c>
      <c r="G15" s="106">
        <f>'Tables 26a,b-MasterInputs'!F33</f>
        <v>2.75E-2</v>
      </c>
      <c r="H15" s="106"/>
      <c r="I15" s="107">
        <f>E15/'Tables 26a,b-MasterInputs'!$D$14+D15*C15</f>
        <v>0.90000000000000013</v>
      </c>
      <c r="J15" s="107">
        <f>(1000/(1+'Tables 26a,b-MasterInputs'!E33)-(M14+C15-I15))*F15</f>
        <v>2.4999651949683024</v>
      </c>
      <c r="K15" s="90">
        <f t="shared" si="0"/>
        <v>2.7223923751260881</v>
      </c>
      <c r="M15" s="90">
        <f t="shared" si="1"/>
        <v>101.71847874334748</v>
      </c>
      <c r="N15" s="90">
        <f t="shared" ref="N15:N32" si="7">N14/(1+G14)</f>
        <v>0.94718833063976637</v>
      </c>
      <c r="O15" s="90">
        <f t="shared" ref="O15:O22" si="8">O14</f>
        <v>1.5789294483314078</v>
      </c>
      <c r="P15" s="107">
        <f t="shared" si="3"/>
        <v>5.0021208023484789</v>
      </c>
      <c r="Q15" s="119">
        <f>'Actuarial balances'!H17</f>
        <v>67096.066465324504</v>
      </c>
      <c r="R15" s="92">
        <f t="shared" si="4"/>
        <v>0.670960664653245</v>
      </c>
      <c r="S15" s="90">
        <f t="shared" si="5"/>
        <v>3.3562262982195588</v>
      </c>
      <c r="T15" s="121">
        <f t="shared" si="6"/>
        <v>0</v>
      </c>
    </row>
    <row r="16" spans="1:20" x14ac:dyDescent="0.25">
      <c r="B16" s="103">
        <f t="shared" si="2"/>
        <v>4</v>
      </c>
      <c r="C16" s="90">
        <f>'Tables 26a,b-MasterInputs'!C34</f>
        <v>35</v>
      </c>
      <c r="D16" s="104">
        <f>'Tables 26a,b-MasterInputs'!F59</f>
        <v>0.02</v>
      </c>
      <c r="E16" s="89">
        <f>'Tables 26a,b-MasterInputs'!G59</f>
        <v>20</v>
      </c>
      <c r="F16" s="105">
        <f>'Tables 26a,b-MasterInputs'!E59</f>
        <v>3.4199999999999999E-3</v>
      </c>
      <c r="G16" s="106">
        <f>'Tables 26a,b-MasterInputs'!F34</f>
        <v>2.75E-2</v>
      </c>
      <c r="H16" s="106"/>
      <c r="I16" s="107">
        <f>E16/'Tables 26a,b-MasterInputs'!$D$14+D16*C16</f>
        <v>0.90000000000000013</v>
      </c>
      <c r="J16" s="107">
        <f>(1000/(1+'Tables 26a,b-MasterInputs'!E34)-(M15+C16-I16))*F16</f>
        <v>2.8720861685514105</v>
      </c>
      <c r="K16" s="90">
        <f t="shared" si="0"/>
        <v>3.6560257958068916</v>
      </c>
      <c r="M16" s="90">
        <f t="shared" si="1"/>
        <v>136.60241837060295</v>
      </c>
      <c r="N16" s="90">
        <f t="shared" si="7"/>
        <v>0.92183779137690147</v>
      </c>
      <c r="O16" s="90">
        <f t="shared" si="8"/>
        <v>1.5789294483314078</v>
      </c>
      <c r="P16" s="107">
        <f t="shared" si="3"/>
        <v>6.7620291325735842</v>
      </c>
      <c r="Q16" s="119">
        <f>'Actuarial balances'!H18</f>
        <v>60953.012294418608</v>
      </c>
      <c r="R16" s="92">
        <f t="shared" si="4"/>
        <v>0.60953012294418607</v>
      </c>
      <c r="S16" s="90">
        <f t="shared" si="5"/>
        <v>4.1216604485297443</v>
      </c>
      <c r="T16" s="121">
        <f t="shared" si="6"/>
        <v>0</v>
      </c>
    </row>
    <row r="17" spans="2:21" x14ac:dyDescent="0.25">
      <c r="B17" s="103">
        <f t="shared" si="2"/>
        <v>5</v>
      </c>
      <c r="C17" s="90">
        <f>'Tables 26a,b-MasterInputs'!C35</f>
        <v>35</v>
      </c>
      <c r="D17" s="104">
        <f>'Tables 26a,b-MasterInputs'!F60</f>
        <v>0.02</v>
      </c>
      <c r="E17" s="89">
        <f>'Tables 26a,b-MasterInputs'!G60</f>
        <v>20</v>
      </c>
      <c r="F17" s="105">
        <f>'Tables 26a,b-MasterInputs'!E60</f>
        <v>3.8800000000000002E-3</v>
      </c>
      <c r="G17" s="106">
        <f>'Tables 26a,b-MasterInputs'!F35</f>
        <v>2.75E-2</v>
      </c>
      <c r="H17" s="106"/>
      <c r="I17" s="107">
        <f>E17/'Tables 26a,b-MasterInputs'!$D$14+D17*C17</f>
        <v>0.90000000000000013</v>
      </c>
      <c r="J17" s="107">
        <f>(1000/(1+'Tables 26a,b-MasterInputs'!E35)-(M16+C17-I17))*F17</f>
        <v>3.1230404703805981</v>
      </c>
      <c r="K17" s="90">
        <f t="shared" si="0"/>
        <v>4.608432892256114</v>
      </c>
      <c r="M17" s="90">
        <f t="shared" si="1"/>
        <v>172.18781079247844</v>
      </c>
      <c r="N17" s="90">
        <f t="shared" si="7"/>
        <v>0.89716573370014729</v>
      </c>
      <c r="O17" s="90">
        <f t="shared" si="8"/>
        <v>1.5789294483314078</v>
      </c>
      <c r="P17" s="107">
        <f t="shared" si="3"/>
        <v>8.5703349418798798</v>
      </c>
      <c r="Q17" s="119">
        <f>'Actuarial balances'!H19</f>
        <v>55967.982374522042</v>
      </c>
      <c r="R17" s="92">
        <f t="shared" si="4"/>
        <v>0.55967982374522041</v>
      </c>
      <c r="S17" s="90">
        <f t="shared" si="5"/>
        <v>4.7966435497088344</v>
      </c>
      <c r="T17" s="121">
        <f t="shared" si="6"/>
        <v>0</v>
      </c>
    </row>
    <row r="18" spans="2:21" x14ac:dyDescent="0.25">
      <c r="B18" s="103">
        <f t="shared" si="2"/>
        <v>6</v>
      </c>
      <c r="C18" s="90">
        <f>'Tables 26a,b-MasterInputs'!C36</f>
        <v>35</v>
      </c>
      <c r="D18" s="104">
        <f>'Tables 26a,b-MasterInputs'!F61</f>
        <v>0.02</v>
      </c>
      <c r="E18" s="89">
        <f>'Tables 26a,b-MasterInputs'!G61</f>
        <v>20</v>
      </c>
      <c r="F18" s="105">
        <f>'Tables 26a,b-MasterInputs'!E61</f>
        <v>3.9960000000000004E-3</v>
      </c>
      <c r="G18" s="106">
        <f>'Tables 26a,b-MasterInputs'!F36</f>
        <v>2.75E-2</v>
      </c>
      <c r="H18" s="106"/>
      <c r="I18" s="107">
        <f>E18/'Tables 26a,b-MasterInputs'!$D$14+D18*C18</f>
        <v>0.90000000000000013</v>
      </c>
      <c r="J18" s="107">
        <f>(1000/(1+'Tables 26a,b-MasterInputs'!E36)-(M17+C18-I18))*F18</f>
        <v>3.0742104934391103</v>
      </c>
      <c r="K18" s="90">
        <f t="shared" si="0"/>
        <v>5.5883740082235818</v>
      </c>
      <c r="M18" s="90">
        <f t="shared" si="1"/>
        <v>208.80197430726292</v>
      </c>
      <c r="N18" s="90">
        <f t="shared" si="7"/>
        <v>0.87315399873493649</v>
      </c>
      <c r="O18" s="90">
        <f t="shared" si="8"/>
        <v>1.5789294483314078</v>
      </c>
      <c r="P18" s="107">
        <f t="shared" si="3"/>
        <v>10.428369160942099</v>
      </c>
      <c r="Q18" s="119">
        <f>'Actuarial balances'!H20</f>
        <v>51934.672111895059</v>
      </c>
      <c r="R18" s="92">
        <f t="shared" si="4"/>
        <v>0.51934672111895064</v>
      </c>
      <c r="S18" s="90">
        <f t="shared" si="5"/>
        <v>5.415939330353261</v>
      </c>
      <c r="T18" s="121">
        <f t="shared" si="6"/>
        <v>0</v>
      </c>
    </row>
    <row r="19" spans="2:21" x14ac:dyDescent="0.25">
      <c r="B19" s="103">
        <f t="shared" si="2"/>
        <v>7</v>
      </c>
      <c r="C19" s="90">
        <f>'Tables 26a,b-MasterInputs'!C37</f>
        <v>35</v>
      </c>
      <c r="D19" s="104">
        <f>'Tables 26a,b-MasterInputs'!F62</f>
        <v>0.02</v>
      </c>
      <c r="E19" s="89">
        <f>'Tables 26a,b-MasterInputs'!G62</f>
        <v>20</v>
      </c>
      <c r="F19" s="105">
        <f>'Tables 26a,b-MasterInputs'!E62</f>
        <v>4.0480000000000004E-3</v>
      </c>
      <c r="G19" s="106">
        <f>'Tables 26a,b-MasterInputs'!F37</f>
        <v>2.75E-2</v>
      </c>
      <c r="H19" s="106"/>
      <c r="I19" s="107">
        <f>E19/'Tables 26a,b-MasterInputs'!$D$14+D19*C19</f>
        <v>0.90000000000000013</v>
      </c>
      <c r="J19" s="107">
        <f>(1000/(1+'Tables 26a,b-MasterInputs'!E37)-(M18+C19-I19))*F19</f>
        <v>2.9660011006871274</v>
      </c>
      <c r="K19" s="90">
        <f t="shared" si="0"/>
        <v>6.598239263180834</v>
      </c>
      <c r="M19" s="90">
        <f t="shared" si="1"/>
        <v>246.53421246975662</v>
      </c>
      <c r="N19" s="90">
        <f t="shared" si="7"/>
        <v>0.84978491361064368</v>
      </c>
      <c r="O19" s="90">
        <f t="shared" si="8"/>
        <v>1.5789294483314078</v>
      </c>
      <c r="P19" s="107">
        <f t="shared" si="3"/>
        <v>12.337499321028529</v>
      </c>
      <c r="Q19" s="119">
        <f>'Actuarial balances'!H21</f>
        <v>48695.080747964843</v>
      </c>
      <c r="R19" s="92">
        <f t="shared" si="4"/>
        <v>0.48695080747964842</v>
      </c>
      <c r="S19" s="90">
        <f t="shared" si="5"/>
        <v>6.0077552566544563</v>
      </c>
      <c r="T19" s="121">
        <f t="shared" si="6"/>
        <v>0</v>
      </c>
    </row>
    <row r="20" spans="2:21" x14ac:dyDescent="0.25">
      <c r="B20" s="103">
        <f t="shared" si="2"/>
        <v>8</v>
      </c>
      <c r="C20" s="90">
        <f>'Tables 26a,b-MasterInputs'!C38</f>
        <v>35</v>
      </c>
      <c r="D20" s="104">
        <f>'Tables 26a,b-MasterInputs'!F63</f>
        <v>0.02</v>
      </c>
      <c r="E20" s="89">
        <f>'Tables 26a,b-MasterInputs'!G63</f>
        <v>20</v>
      </c>
      <c r="F20" s="105">
        <f>'Tables 26a,b-MasterInputs'!E63</f>
        <v>3.9620000000000002E-3</v>
      </c>
      <c r="G20" s="106">
        <f>'Tables 26a,b-MasterInputs'!F38</f>
        <v>2.75E-2</v>
      </c>
      <c r="H20" s="106"/>
      <c r="I20" s="107">
        <f>E20/'Tables 26a,b-MasterInputs'!$D$14+D20*C20</f>
        <v>0.90000000000000013</v>
      </c>
      <c r="J20" s="107">
        <f>(1000/(1+'Tables 26a,b-MasterInputs'!E38)-(M19+C20-I20))*F20</f>
        <v>2.7534931038533612</v>
      </c>
      <c r="K20" s="90">
        <f t="shared" si="0"/>
        <v>7.6417197825623413</v>
      </c>
      <c r="M20" s="90">
        <f t="shared" si="1"/>
        <v>285.52243914846565</v>
      </c>
      <c r="N20" s="90">
        <f t="shared" si="7"/>
        <v>0.82704127845318109</v>
      </c>
      <c r="O20" s="90">
        <f t="shared" si="8"/>
        <v>1.5789294483314078</v>
      </c>
      <c r="P20" s="107">
        <f t="shared" si="3"/>
        <v>14.299130560517337</v>
      </c>
      <c r="Q20" s="119">
        <f>'Actuarial balances'!H22</f>
        <v>46129.409985975697</v>
      </c>
      <c r="R20" s="92">
        <f t="shared" si="4"/>
        <v>0.46129409985975695</v>
      </c>
      <c r="S20" s="90">
        <f t="shared" si="5"/>
        <v>6.5961045606909865</v>
      </c>
      <c r="T20" s="121">
        <f t="shared" si="6"/>
        <v>0</v>
      </c>
    </row>
    <row r="21" spans="2:21" x14ac:dyDescent="0.25">
      <c r="B21" s="103">
        <f t="shared" si="2"/>
        <v>9</v>
      </c>
      <c r="C21" s="90">
        <f>'Tables 26a,b-MasterInputs'!C39</f>
        <v>35</v>
      </c>
      <c r="D21" s="104">
        <f>'Tables 26a,b-MasterInputs'!F64</f>
        <v>0.02</v>
      </c>
      <c r="E21" s="89">
        <f>'Tables 26a,b-MasterInputs'!G64</f>
        <v>20</v>
      </c>
      <c r="F21" s="105">
        <f>'Tables 26a,b-MasterInputs'!E64</f>
        <v>3.7319999999999996E-3</v>
      </c>
      <c r="G21" s="106">
        <f>'Tables 26a,b-MasterInputs'!F39</f>
        <v>2.75E-2</v>
      </c>
      <c r="H21" s="106"/>
      <c r="I21" s="107">
        <f>E21/'Tables 26a,b-MasterInputs'!$D$14+D21*C21</f>
        <v>0.90000000000000013</v>
      </c>
      <c r="J21" s="107">
        <f>(1000/(1+'Tables 26a,b-MasterInputs'!E39)-(M20+C21-I21))*F21</f>
        <v>2.4481446668540241</v>
      </c>
      <c r="K21" s="90">
        <f t="shared" si="0"/>
        <v>8.7222930982443199</v>
      </c>
      <c r="M21" s="90">
        <f t="shared" si="1"/>
        <v>325.89658757985598</v>
      </c>
      <c r="N21" s="90">
        <f t="shared" si="7"/>
        <v>0.80490635372572361</v>
      </c>
      <c r="O21" s="90">
        <f t="shared" si="8"/>
        <v>1.5789294483314078</v>
      </c>
      <c r="P21" s="107">
        <f t="shared" si="3"/>
        <v>16.314706659092089</v>
      </c>
      <c r="Q21" s="119">
        <f>'Actuarial balances'!H23</f>
        <v>44146.509620082536</v>
      </c>
      <c r="R21" s="92">
        <f t="shared" si="4"/>
        <v>0.44146509620082536</v>
      </c>
      <c r="S21" s="90">
        <f t="shared" si="5"/>
        <v>7.2023735447443347</v>
      </c>
      <c r="T21" s="121">
        <f t="shared" si="6"/>
        <v>0</v>
      </c>
    </row>
    <row r="22" spans="2:21" x14ac:dyDescent="0.25">
      <c r="B22" s="103">
        <f t="shared" si="2"/>
        <v>10</v>
      </c>
      <c r="C22" s="90">
        <f>'Tables 26a,b-MasterInputs'!C40</f>
        <v>35</v>
      </c>
      <c r="D22" s="104">
        <f>'Tables 26a,b-MasterInputs'!F65</f>
        <v>0.02</v>
      </c>
      <c r="E22" s="89">
        <f>'Tables 26a,b-MasterInputs'!G65</f>
        <v>20</v>
      </c>
      <c r="F22" s="105">
        <f>'Tables 26a,b-MasterInputs'!E65</f>
        <v>3.4499999999999999E-3</v>
      </c>
      <c r="G22" s="106">
        <f>'Tables 26a,b-MasterInputs'!F40</f>
        <v>2.75E-2</v>
      </c>
      <c r="H22" s="106">
        <v>0.05</v>
      </c>
      <c r="I22" s="107">
        <f>E22/'Tables 26a,b-MasterInputs'!$D$14+D22*C22</f>
        <v>0.90000000000000013</v>
      </c>
      <c r="J22" s="107">
        <f>(1000/(1+'Tables 26a,b-MasterInputs'!E40)-(M21+C22-I22))*F22</f>
        <v>2.1238654313860827</v>
      </c>
      <c r="K22" s="90">
        <f t="shared" si="0"/>
        <v>9.8414998590829228</v>
      </c>
      <c r="L22" s="90">
        <f>H22*(M21+C22-I22-J22+K22)</f>
        <v>18.385711100377645</v>
      </c>
      <c r="M22" s="90">
        <f t="shared" si="1"/>
        <v>386.0999331079305</v>
      </c>
      <c r="N22" s="90">
        <f t="shared" si="7"/>
        <v>0.78336384790824676</v>
      </c>
      <c r="O22" s="90">
        <f t="shared" si="8"/>
        <v>1.5789294483314078</v>
      </c>
      <c r="P22" s="107">
        <f t="shared" si="3"/>
        <v>18.385711100377645</v>
      </c>
      <c r="Q22" s="119">
        <f>'Actuarial balances'!H24</f>
        <v>42234.435995417516</v>
      </c>
      <c r="R22" s="92">
        <f t="shared" si="4"/>
        <v>0.42234435995417519</v>
      </c>
      <c r="S22" s="90">
        <f t="shared" si="5"/>
        <v>7.7651013869913701</v>
      </c>
      <c r="T22" s="121">
        <f t="shared" si="6"/>
        <v>7.7651013869913701</v>
      </c>
      <c r="U22" s="90"/>
    </row>
    <row r="23" spans="2:21" x14ac:dyDescent="0.25">
      <c r="B23" s="103">
        <f t="shared" si="2"/>
        <v>11</v>
      </c>
      <c r="C23" s="90">
        <f>'Tables 26a,b-MasterInputs'!C41</f>
        <v>35</v>
      </c>
      <c r="D23" s="104">
        <f>'Tables 26a,b-MasterInputs'!F66</f>
        <v>0.02</v>
      </c>
      <c r="E23" s="89">
        <f>'Tables 26a,b-MasterInputs'!G66</f>
        <v>20</v>
      </c>
      <c r="F23" s="105">
        <f>'Tables 26a,b-MasterInputs'!E66</f>
        <v>3.5190000000000004E-3</v>
      </c>
      <c r="G23" s="106">
        <f>'Tables 26a,b-MasterInputs'!F41</f>
        <v>2.75E-2</v>
      </c>
      <c r="H23" s="106"/>
      <c r="I23" s="107">
        <f>E23/'Tables 26a,b-MasterInputs'!$D$14+D23*C23</f>
        <v>0.90000000000000013</v>
      </c>
      <c r="J23" s="107">
        <f>(1000/(1+'Tables 26a,b-MasterInputs'!E41)-(M22+C23-I23))*F23</f>
        <v>1.9544871671005102</v>
      </c>
      <c r="K23" s="90">
        <f t="shared" si="0"/>
        <v>11.501749763372825</v>
      </c>
      <c r="M23" s="90">
        <f t="shared" si="1"/>
        <v>429.7471957042028</v>
      </c>
      <c r="N23" s="90">
        <f t="shared" si="7"/>
        <v>0.76239790550680941</v>
      </c>
      <c r="Q23" s="119">
        <f>'Actuarial balances'!H25</f>
        <v>40386.527376648417</v>
      </c>
      <c r="R23" s="92">
        <f t="shared" si="4"/>
        <v>0.40386527376648418</v>
      </c>
      <c r="S23" s="90">
        <f t="shared" si="5"/>
        <v>0</v>
      </c>
      <c r="T23" s="121">
        <f t="shared" si="6"/>
        <v>0</v>
      </c>
    </row>
    <row r="24" spans="2:21" x14ac:dyDescent="0.25">
      <c r="B24" s="103">
        <f t="shared" si="2"/>
        <v>12</v>
      </c>
      <c r="C24" s="90">
        <f>'Tables 26a,b-MasterInputs'!C42</f>
        <v>35</v>
      </c>
      <c r="D24" s="104">
        <f>'Tables 26a,b-MasterInputs'!F67</f>
        <v>0.02</v>
      </c>
      <c r="E24" s="89">
        <f>'Tables 26a,b-MasterInputs'!G67</f>
        <v>20</v>
      </c>
      <c r="F24" s="105">
        <f>'Tables 26a,b-MasterInputs'!E67</f>
        <v>4.1310000000000001E-3</v>
      </c>
      <c r="G24" s="106">
        <f>'Tables 26a,b-MasterInputs'!F42</f>
        <v>2.75E-2</v>
      </c>
      <c r="H24" s="106"/>
      <c r="I24" s="107">
        <f>E24/'Tables 26a,b-MasterInputs'!$D$14+D24*C24</f>
        <v>0.90000000000000013</v>
      </c>
      <c r="J24" s="107">
        <f>(1000/(1+'Tables 26a,b-MasterInputs'!E42)-(M23+C24-I24))*F24</f>
        <v>2.1140911369849631</v>
      </c>
      <c r="K24" s="90">
        <f t="shared" si="0"/>
        <v>12.697660375598492</v>
      </c>
      <c r="M24" s="90">
        <f t="shared" si="1"/>
        <v>474.43076494281638</v>
      </c>
      <c r="N24" s="90">
        <f t="shared" si="7"/>
        <v>0.74199309538375602</v>
      </c>
      <c r="Q24" s="119">
        <f>'Actuarial balances'!H26</f>
        <v>38593.107087350014</v>
      </c>
      <c r="R24" s="92">
        <f t="shared" si="4"/>
        <v>0.38593107087350015</v>
      </c>
      <c r="S24" s="90">
        <f t="shared" si="5"/>
        <v>0</v>
      </c>
      <c r="T24" s="121">
        <f t="shared" si="6"/>
        <v>0</v>
      </c>
    </row>
    <row r="25" spans="2:21" x14ac:dyDescent="0.25">
      <c r="B25" s="103">
        <f t="shared" si="2"/>
        <v>13</v>
      </c>
      <c r="C25" s="90">
        <f>'Tables 26a,b-MasterInputs'!C43</f>
        <v>35</v>
      </c>
      <c r="D25" s="104">
        <f>'Tables 26a,b-MasterInputs'!F68</f>
        <v>0.02</v>
      </c>
      <c r="E25" s="89">
        <f>'Tables 26a,b-MasterInputs'!G68</f>
        <v>20</v>
      </c>
      <c r="F25" s="105">
        <f>'Tables 26a,b-MasterInputs'!E68</f>
        <v>4.8419999999999999E-3</v>
      </c>
      <c r="G25" s="106">
        <f>'Tables 26a,b-MasterInputs'!F43</f>
        <v>2.75E-2</v>
      </c>
      <c r="H25" s="106"/>
      <c r="I25" s="107">
        <f>E25/'Tables 26a,b-MasterInputs'!$D$14+D25*C25</f>
        <v>0.90000000000000013</v>
      </c>
      <c r="J25" s="107">
        <f>(1000/(1+'Tables 26a,b-MasterInputs'!E43)-(M24+C25-I25))*F25</f>
        <v>2.2615964751712738</v>
      </c>
      <c r="K25" s="90">
        <f t="shared" si="0"/>
        <v>13.922402132860242</v>
      </c>
      <c r="M25" s="90">
        <f t="shared" si="1"/>
        <v>520.19157060050543</v>
      </c>
      <c r="N25" s="90">
        <f t="shared" si="7"/>
        <v>0.72213439940024915</v>
      </c>
      <c r="Q25" s="119">
        <f>'Actuarial balances'!H27</f>
        <v>36850.057124371269</v>
      </c>
      <c r="R25" s="92">
        <f t="shared" si="4"/>
        <v>0.36850057124371272</v>
      </c>
      <c r="S25" s="90">
        <f t="shared" si="5"/>
        <v>0</v>
      </c>
      <c r="T25" s="121">
        <f t="shared" si="6"/>
        <v>0</v>
      </c>
    </row>
    <row r="26" spans="2:21" x14ac:dyDescent="0.25">
      <c r="B26" s="103">
        <f t="shared" si="2"/>
        <v>14</v>
      </c>
      <c r="C26" s="90">
        <f>'Tables 26a,b-MasterInputs'!C44</f>
        <v>35</v>
      </c>
      <c r="D26" s="104">
        <f>'Tables 26a,b-MasterInputs'!F69</f>
        <v>0.02</v>
      </c>
      <c r="E26" s="89">
        <f>'Tables 26a,b-MasterInputs'!G69</f>
        <v>20</v>
      </c>
      <c r="F26" s="105">
        <f>'Tables 26a,b-MasterInputs'!E69</f>
        <v>5.5439999999999994E-3</v>
      </c>
      <c r="G26" s="106">
        <f>'Tables 26a,b-MasterInputs'!F44</f>
        <v>2.75E-2</v>
      </c>
      <c r="H26" s="106"/>
      <c r="I26" s="107">
        <f>E26/'Tables 26a,b-MasterInputs'!$D$14+D26*C26</f>
        <v>0.90000000000000013</v>
      </c>
      <c r="J26" s="107">
        <f>(1000/(1+'Tables 26a,b-MasterInputs'!E44)-(M25+C26-I26))*F26</f>
        <v>2.3357880203956762</v>
      </c>
      <c r="K26" s="90">
        <f t="shared" si="0"/>
        <v>15.178784020953021</v>
      </c>
      <c r="M26" s="90">
        <f t="shared" si="1"/>
        <v>567.13456660106283</v>
      </c>
      <c r="N26" s="90">
        <f t="shared" si="7"/>
        <v>0.70280720136277286</v>
      </c>
      <c r="Q26" s="119">
        <f>'Actuarial balances'!H28</f>
        <v>35158.138341585734</v>
      </c>
      <c r="R26" s="92">
        <f t="shared" si="4"/>
        <v>0.35158138341585732</v>
      </c>
      <c r="S26" s="90">
        <f t="shared" si="5"/>
        <v>0</v>
      </c>
      <c r="T26" s="121">
        <f t="shared" si="6"/>
        <v>0</v>
      </c>
    </row>
    <row r="27" spans="2:21" x14ac:dyDescent="0.25">
      <c r="B27" s="103">
        <f t="shared" si="2"/>
        <v>15</v>
      </c>
      <c r="C27" s="90">
        <f>'Tables 26a,b-MasterInputs'!C45</f>
        <v>35</v>
      </c>
      <c r="D27" s="104">
        <f>'Tables 26a,b-MasterInputs'!F70</f>
        <v>0.02</v>
      </c>
      <c r="E27" s="89">
        <f>'Tables 26a,b-MasterInputs'!G70</f>
        <v>20</v>
      </c>
      <c r="F27" s="105">
        <f>'Tables 26a,b-MasterInputs'!E70</f>
        <v>6.2370000000000004E-3</v>
      </c>
      <c r="G27" s="106">
        <f>'Tables 26a,b-MasterInputs'!F45</f>
        <v>2.75E-2</v>
      </c>
      <c r="H27" s="106"/>
      <c r="I27" s="107">
        <f>E27/'Tables 26a,b-MasterInputs'!$D$14+D27*C27</f>
        <v>0.90000000000000013</v>
      </c>
      <c r="J27" s="107">
        <f>(1000/(1+'Tables 26a,b-MasterInputs'!E45)-(M26+C27-I27))*F27</f>
        <v>2.3349780568896596</v>
      </c>
      <c r="K27" s="90">
        <f t="shared" si="0"/>
        <v>16.469738684964764</v>
      </c>
      <c r="M27" s="90">
        <f t="shared" si="1"/>
        <v>615.36932722913798</v>
      </c>
      <c r="N27" s="90">
        <f t="shared" si="7"/>
        <v>0.68399727626547235</v>
      </c>
      <c r="Q27" s="119">
        <f>'Actuarial balances'!H29</f>
        <v>33517.912745163405</v>
      </c>
      <c r="R27" s="92">
        <f t="shared" si="4"/>
        <v>0.33517912745163403</v>
      </c>
      <c r="S27" s="90">
        <f t="shared" si="5"/>
        <v>0</v>
      </c>
      <c r="T27" s="121">
        <f t="shared" si="6"/>
        <v>0</v>
      </c>
    </row>
    <row r="28" spans="2:21" x14ac:dyDescent="0.25">
      <c r="B28" s="103">
        <f t="shared" si="2"/>
        <v>16</v>
      </c>
      <c r="C28" s="90">
        <f>'Tables 26a,b-MasterInputs'!C46</f>
        <v>35</v>
      </c>
      <c r="D28" s="104">
        <f>'Tables 26a,b-MasterInputs'!F71</f>
        <v>0.02</v>
      </c>
      <c r="E28" s="89">
        <f>'Tables 26a,b-MasterInputs'!G71</f>
        <v>20</v>
      </c>
      <c r="F28" s="105">
        <f>'Tables 26a,b-MasterInputs'!E71</f>
        <v>6.9930000000000001E-3</v>
      </c>
      <c r="G28" s="106">
        <f>'Tables 26a,b-MasterInputs'!F46</f>
        <v>2.75E-2</v>
      </c>
      <c r="H28" s="106"/>
      <c r="I28" s="107">
        <f>E28/'Tables 26a,b-MasterInputs'!$D$14+D28*C28</f>
        <v>0.90000000000000013</v>
      </c>
      <c r="J28" s="107">
        <f>(1000/(1+'Tables 26a,b-MasterInputs'!E46)-(M27+C28-I28))*F28</f>
        <v>2.2807000190768827</v>
      </c>
      <c r="K28" s="90">
        <f t="shared" si="0"/>
        <v>17.797687248276681</v>
      </c>
      <c r="M28" s="90">
        <f t="shared" si="1"/>
        <v>664.9863144583378</v>
      </c>
      <c r="N28" s="90">
        <f t="shared" si="7"/>
        <v>0.66569077982041103</v>
      </c>
      <c r="Q28" s="119">
        <f>'Actuarial balances'!H30</f>
        <v>31927.179420608143</v>
      </c>
      <c r="R28" s="92">
        <f t="shared" si="4"/>
        <v>0.31927179420608143</v>
      </c>
      <c r="S28" s="90">
        <f t="shared" si="5"/>
        <v>0</v>
      </c>
      <c r="T28" s="121">
        <f t="shared" si="6"/>
        <v>0</v>
      </c>
    </row>
    <row r="29" spans="2:21" x14ac:dyDescent="0.25">
      <c r="B29" s="103">
        <f t="shared" si="2"/>
        <v>17</v>
      </c>
      <c r="C29" s="90">
        <f>'Tables 26a,b-MasterInputs'!C47</f>
        <v>35</v>
      </c>
      <c r="D29" s="104">
        <f>'Tables 26a,b-MasterInputs'!F72</f>
        <v>0.02</v>
      </c>
      <c r="E29" s="89">
        <f>'Tables 26a,b-MasterInputs'!G72</f>
        <v>20</v>
      </c>
      <c r="F29" s="105">
        <f>'Tables 26a,b-MasterInputs'!E72</f>
        <v>7.6319999999999999E-3</v>
      </c>
      <c r="G29" s="106">
        <f>'Tables 26a,b-MasterInputs'!F47</f>
        <v>2.75E-2</v>
      </c>
      <c r="H29" s="106"/>
      <c r="I29" s="107">
        <f>E29/'Tables 26a,b-MasterInputs'!$D$14+D29*C29</f>
        <v>0.90000000000000013</v>
      </c>
      <c r="J29" s="107">
        <f>(1000/(1+'Tables 26a,b-MasterInputs'!E47)-(M28+C29-I29))*F29</f>
        <v>2.1104269065905519</v>
      </c>
      <c r="K29" s="90">
        <f t="shared" si="0"/>
        <v>19.166836907673051</v>
      </c>
      <c r="M29" s="90">
        <f t="shared" si="1"/>
        <v>716.14272445942038</v>
      </c>
      <c r="N29" s="90">
        <f t="shared" si="7"/>
        <v>0.64787423826803991</v>
      </c>
      <c r="Q29" s="119">
        <f>'Actuarial balances'!H31</f>
        <v>30390.179461556527</v>
      </c>
      <c r="R29" s="92">
        <f t="shared" si="4"/>
        <v>0.30390179461556527</v>
      </c>
      <c r="S29" s="90">
        <f t="shared" si="5"/>
        <v>0</v>
      </c>
      <c r="T29" s="121">
        <f t="shared" si="6"/>
        <v>0</v>
      </c>
    </row>
    <row r="30" spans="2:21" x14ac:dyDescent="0.25">
      <c r="B30" s="103">
        <f t="shared" si="2"/>
        <v>18</v>
      </c>
      <c r="C30" s="90">
        <f>'Tables 26a,b-MasterInputs'!C48</f>
        <v>35</v>
      </c>
      <c r="D30" s="104">
        <f>'Tables 26a,b-MasterInputs'!F73</f>
        <v>0.02</v>
      </c>
      <c r="E30" s="89">
        <f>'Tables 26a,b-MasterInputs'!G73</f>
        <v>20</v>
      </c>
      <c r="F30" s="105">
        <f>'Tables 26a,b-MasterInputs'!E73</f>
        <v>8.369999999999999E-3</v>
      </c>
      <c r="G30" s="106">
        <f>'Tables 26a,b-MasterInputs'!F48</f>
        <v>2.75E-2</v>
      </c>
      <c r="H30" s="106"/>
      <c r="I30" s="107">
        <f>E30/'Tables 26a,b-MasterInputs'!$D$14+D30*C30</f>
        <v>0.90000000000000013</v>
      </c>
      <c r="J30" s="107">
        <f>(1000/(1+'Tables 26a,b-MasterInputs'!E48)-(M29+C30-I30))*F30</f>
        <v>1.8863220548112374</v>
      </c>
      <c r="K30" s="90">
        <f t="shared" si="0"/>
        <v>20.579801066126752</v>
      </c>
      <c r="M30" s="90">
        <f t="shared" si="1"/>
        <v>768.9362034707359</v>
      </c>
      <c r="N30" s="90">
        <f t="shared" si="7"/>
        <v>0.63053453846037943</v>
      </c>
      <c r="Q30" s="119">
        <f>'Actuarial balances'!H32</f>
        <v>28903.24876086149</v>
      </c>
      <c r="R30" s="92">
        <f t="shared" si="4"/>
        <v>0.28903248760861489</v>
      </c>
      <c r="S30" s="90">
        <f t="shared" si="5"/>
        <v>0</v>
      </c>
      <c r="T30" s="121">
        <f t="shared" si="6"/>
        <v>0</v>
      </c>
    </row>
    <row r="31" spans="2:21" x14ac:dyDescent="0.25">
      <c r="B31" s="103">
        <f t="shared" si="2"/>
        <v>19</v>
      </c>
      <c r="C31" s="90">
        <f>'Tables 26a,b-MasterInputs'!C49</f>
        <v>35</v>
      </c>
      <c r="D31" s="104">
        <f>'Tables 26a,b-MasterInputs'!F74</f>
        <v>0.02</v>
      </c>
      <c r="E31" s="89">
        <f>'Tables 26a,b-MasterInputs'!G74</f>
        <v>20</v>
      </c>
      <c r="F31" s="105">
        <f>'Tables 26a,b-MasterInputs'!E74</f>
        <v>9.1979999999999996E-3</v>
      </c>
      <c r="G31" s="106">
        <f>'Tables 26a,b-MasterInputs'!F49</f>
        <v>2.75E-2</v>
      </c>
      <c r="H31" s="106"/>
      <c r="I31" s="107">
        <f>E31/'Tables 26a,b-MasterInputs'!$D$14+D31*C31</f>
        <v>0.90000000000000013</v>
      </c>
      <c r="J31" s="107">
        <f>(1000/(1+'Tables 26a,b-MasterInputs'!E49)-(M30+C31-I31))*F31</f>
        <v>1.587331537061538</v>
      </c>
      <c r="K31" s="90">
        <f t="shared" si="0"/>
        <v>22.039843978176044</v>
      </c>
      <c r="M31" s="90">
        <f t="shared" si="1"/>
        <v>823.48871591185036</v>
      </c>
      <c r="N31" s="90">
        <f t="shared" si="7"/>
        <v>0.61365891820961493</v>
      </c>
      <c r="Q31" s="119">
        <f>'Actuarial balances'!H33</f>
        <v>27463.543256184465</v>
      </c>
      <c r="R31" s="92">
        <f t="shared" si="4"/>
        <v>0.27463543256184464</v>
      </c>
      <c r="S31" s="90">
        <f t="shared" si="5"/>
        <v>0</v>
      </c>
      <c r="T31" s="121">
        <f t="shared" si="6"/>
        <v>0</v>
      </c>
    </row>
    <row r="32" spans="2:21" ht="15.75" thickBot="1" x14ac:dyDescent="0.3">
      <c r="B32" s="109">
        <f t="shared" si="2"/>
        <v>20</v>
      </c>
      <c r="C32" s="110">
        <f>'Tables 26a,b-MasterInputs'!C50</f>
        <v>35</v>
      </c>
      <c r="D32" s="111">
        <f>'Tables 26a,b-MasterInputs'!F75</f>
        <v>0.02</v>
      </c>
      <c r="E32" s="112">
        <f>'Tables 26a,b-MasterInputs'!G75</f>
        <v>20</v>
      </c>
      <c r="F32" s="113">
        <f>'Tables 26a,b-MasterInputs'!E75</f>
        <v>1.0125E-2</v>
      </c>
      <c r="G32" s="114">
        <f>'Tables 26a,b-MasterInputs'!F50</f>
        <v>2.75E-2</v>
      </c>
      <c r="H32" s="114"/>
      <c r="I32" s="115">
        <f>E32/'Tables 26a,b-MasterInputs'!$D$14+D32*C32</f>
        <v>0.90000000000000013</v>
      </c>
      <c r="J32" s="115">
        <f>(1000/(1+'Tables 26a,b-MasterInputs'!E50)-(M31+C32-I32))*F32</f>
        <v>1.194963031880321</v>
      </c>
      <c r="K32" s="110">
        <f t="shared" si="0"/>
        <v>23.550828204199178</v>
      </c>
      <c r="L32" s="122"/>
      <c r="M32" s="110">
        <f t="shared" si="1"/>
        <v>879.94458108416927</v>
      </c>
      <c r="N32" s="110">
        <f t="shared" si="7"/>
        <v>0.59723495689500228</v>
      </c>
      <c r="O32" s="122"/>
      <c r="P32" s="122"/>
      <c r="Q32" s="123">
        <f>'Actuarial balances'!H34</f>
        <v>0</v>
      </c>
      <c r="R32" s="124">
        <f t="shared" si="4"/>
        <v>0</v>
      </c>
      <c r="S32" s="110">
        <f t="shared" si="5"/>
        <v>0</v>
      </c>
      <c r="T32" s="125">
        <f t="shared" si="6"/>
        <v>0</v>
      </c>
    </row>
    <row r="34" spans="2:10" x14ac:dyDescent="0.25">
      <c r="D34" s="126"/>
    </row>
    <row r="35" spans="2:10" ht="15.75" thickBot="1" x14ac:dyDescent="0.3"/>
    <row r="36" spans="2:10" x14ac:dyDescent="0.25">
      <c r="B36" s="417" t="s">
        <v>265</v>
      </c>
      <c r="C36" s="418"/>
      <c r="D36" s="418"/>
      <c r="E36" s="418"/>
      <c r="F36" s="418"/>
      <c r="G36" s="418"/>
      <c r="H36" s="418"/>
      <c r="I36" s="127"/>
      <c r="J36" s="81"/>
    </row>
    <row r="37" spans="2:10" ht="15.75" thickBot="1" x14ac:dyDescent="0.3">
      <c r="B37" s="414" t="s">
        <v>86</v>
      </c>
      <c r="C37" s="415"/>
      <c r="D37" s="415"/>
      <c r="E37" s="415"/>
      <c r="F37" s="415"/>
      <c r="G37" s="415"/>
      <c r="H37" s="415"/>
      <c r="I37" s="127"/>
      <c r="J37" s="81"/>
    </row>
    <row r="38" spans="2:10" x14ac:dyDescent="0.25">
      <c r="B38" s="97" t="s">
        <v>56</v>
      </c>
      <c r="C38" s="97" t="s">
        <v>57</v>
      </c>
      <c r="D38" s="97" t="s">
        <v>58</v>
      </c>
      <c r="E38" s="97" t="s">
        <v>59</v>
      </c>
      <c r="F38" s="97" t="s">
        <v>60</v>
      </c>
      <c r="G38" s="97" t="s">
        <v>61</v>
      </c>
      <c r="H38" s="128" t="s">
        <v>62</v>
      </c>
      <c r="I38" s="129"/>
      <c r="J38" s="130"/>
    </row>
    <row r="39" spans="2:10" s="82" customFormat="1" ht="60.75" thickBot="1" x14ac:dyDescent="0.3">
      <c r="B39" s="99" t="s">
        <v>88</v>
      </c>
      <c r="C39" s="99" t="s">
        <v>302</v>
      </c>
      <c r="D39" s="99" t="s">
        <v>301</v>
      </c>
      <c r="E39" s="99" t="s">
        <v>71</v>
      </c>
      <c r="F39" s="99" t="s">
        <v>81</v>
      </c>
      <c r="G39" s="99" t="s">
        <v>82</v>
      </c>
      <c r="H39" s="131" t="s">
        <v>300</v>
      </c>
      <c r="I39" s="132"/>
      <c r="J39" s="117"/>
    </row>
    <row r="40" spans="2:10" x14ac:dyDescent="0.25">
      <c r="B40" s="133">
        <f>'Table 7-2-Persistency Bonus'!B13</f>
        <v>1</v>
      </c>
      <c r="C40" s="107">
        <f>'Table 7-2-Persistency Bonus'!M13</f>
        <v>33.489907960975614</v>
      </c>
      <c r="D40" s="134">
        <f>'Table 7-2-Persistency Bonus'!L13</f>
        <v>0</v>
      </c>
      <c r="E40" s="135">
        <f>'Table 7-2-Persistency Bonus'!G13</f>
        <v>2.75E-2</v>
      </c>
      <c r="F40" s="134">
        <f>'Table 7-2-Persistency Bonus'!N13</f>
        <v>1</v>
      </c>
      <c r="G40" s="134">
        <f>'Table 7-2-Persistency Bonus'!O13</f>
        <v>1.5789294483314078</v>
      </c>
      <c r="H40" s="134">
        <f>'Table 7-2-Persistency Bonus'!P13</f>
        <v>1.6223500081605216</v>
      </c>
      <c r="I40" s="136"/>
      <c r="J40" s="107"/>
    </row>
    <row r="41" spans="2:10" x14ac:dyDescent="0.25">
      <c r="B41" s="137">
        <f>'Table 7-2-Persistency Bonus'!B14</f>
        <v>2</v>
      </c>
      <c r="C41" s="107">
        <f>'Table 7-2-Persistency Bonus'!M14</f>
        <v>67.396051563189687</v>
      </c>
      <c r="D41" s="90">
        <f>'Table 7-2-Persistency Bonus'!L14</f>
        <v>0</v>
      </c>
      <c r="E41" s="138">
        <f>'Table 7-2-Persistency Bonus'!G14</f>
        <v>2.75E-2</v>
      </c>
      <c r="F41" s="107">
        <f>'Table 7-2-Persistency Bonus'!N14</f>
        <v>0.97323600973236002</v>
      </c>
      <c r="G41" s="107">
        <f>'Table 7-2-Persistency Bonus'!O14</f>
        <v>1.5789294483314078</v>
      </c>
      <c r="H41" s="107">
        <f>'Table 7-2-Persistency Bonus'!P14</f>
        <v>3.2893146415454573</v>
      </c>
      <c r="I41" s="136"/>
      <c r="J41" s="107"/>
    </row>
    <row r="42" spans="2:10" x14ac:dyDescent="0.25">
      <c r="B42" s="137">
        <f>'Table 7-2-Persistency Bonus'!B15</f>
        <v>3</v>
      </c>
      <c r="C42" s="107">
        <f>'Table 7-2-Persistency Bonus'!M15</f>
        <v>101.71847874334748</v>
      </c>
      <c r="D42" s="90">
        <f>'Table 7-2-Persistency Bonus'!L15</f>
        <v>0</v>
      </c>
      <c r="E42" s="138">
        <f>'Table 7-2-Persistency Bonus'!G15</f>
        <v>2.75E-2</v>
      </c>
      <c r="F42" s="107">
        <f>'Table 7-2-Persistency Bonus'!N15</f>
        <v>0.94718833063976637</v>
      </c>
      <c r="G42" s="107">
        <f>'Table 7-2-Persistency Bonus'!O15</f>
        <v>1.5789294483314078</v>
      </c>
      <c r="H42" s="107">
        <f>'Table 7-2-Persistency Bonus'!P15</f>
        <v>5.0021208023484789</v>
      </c>
      <c r="I42" s="136"/>
      <c r="J42" s="107"/>
    </row>
    <row r="43" spans="2:10" x14ac:dyDescent="0.25">
      <c r="B43" s="137">
        <f>'Table 7-2-Persistency Bonus'!B16</f>
        <v>4</v>
      </c>
      <c r="C43" s="107">
        <f>'Table 7-2-Persistency Bonus'!M16</f>
        <v>136.60241837060295</v>
      </c>
      <c r="D43" s="90">
        <f>'Table 7-2-Persistency Bonus'!L16</f>
        <v>0</v>
      </c>
      <c r="E43" s="138">
        <f>'Table 7-2-Persistency Bonus'!G16</f>
        <v>2.75E-2</v>
      </c>
      <c r="F43" s="107">
        <f>'Table 7-2-Persistency Bonus'!N16</f>
        <v>0.92183779137690147</v>
      </c>
      <c r="G43" s="107">
        <f>'Table 7-2-Persistency Bonus'!O16</f>
        <v>1.5789294483314078</v>
      </c>
      <c r="H43" s="107">
        <f>'Table 7-2-Persistency Bonus'!P16</f>
        <v>6.7620291325735842</v>
      </c>
      <c r="I43" s="136"/>
      <c r="J43" s="107"/>
    </row>
    <row r="44" spans="2:10" x14ac:dyDescent="0.25">
      <c r="B44" s="137">
        <f>'Table 7-2-Persistency Bonus'!B17</f>
        <v>5</v>
      </c>
      <c r="C44" s="107">
        <f>'Table 7-2-Persistency Bonus'!M17</f>
        <v>172.18781079247844</v>
      </c>
      <c r="D44" s="90">
        <f>'Table 7-2-Persistency Bonus'!L17</f>
        <v>0</v>
      </c>
      <c r="E44" s="138">
        <f>'Table 7-2-Persistency Bonus'!G17</f>
        <v>2.75E-2</v>
      </c>
      <c r="F44" s="107">
        <f>'Table 7-2-Persistency Bonus'!N17</f>
        <v>0.89716573370014729</v>
      </c>
      <c r="G44" s="107">
        <f>'Table 7-2-Persistency Bonus'!O17</f>
        <v>1.5789294483314078</v>
      </c>
      <c r="H44" s="107">
        <f>'Table 7-2-Persistency Bonus'!P17</f>
        <v>8.5703349418798798</v>
      </c>
      <c r="I44" s="136"/>
      <c r="J44" s="107"/>
    </row>
    <row r="45" spans="2:10" x14ac:dyDescent="0.25">
      <c r="B45" s="137">
        <f>'Table 7-2-Persistency Bonus'!B18</f>
        <v>6</v>
      </c>
      <c r="C45" s="107">
        <f>'Table 7-2-Persistency Bonus'!M18</f>
        <v>208.80197430726292</v>
      </c>
      <c r="D45" s="90">
        <f>'Table 7-2-Persistency Bonus'!L18</f>
        <v>0</v>
      </c>
      <c r="E45" s="138">
        <f>'Table 7-2-Persistency Bonus'!G18</f>
        <v>2.75E-2</v>
      </c>
      <c r="F45" s="107">
        <f>'Table 7-2-Persistency Bonus'!N18</f>
        <v>0.87315399873493649</v>
      </c>
      <c r="G45" s="107">
        <f>'Table 7-2-Persistency Bonus'!O18</f>
        <v>1.5789294483314078</v>
      </c>
      <c r="H45" s="107">
        <f>'Table 7-2-Persistency Bonus'!P18</f>
        <v>10.428369160942099</v>
      </c>
      <c r="I45" s="136"/>
      <c r="J45" s="107"/>
    </row>
    <row r="46" spans="2:10" x14ac:dyDescent="0.25">
      <c r="B46" s="137">
        <f>'Table 7-2-Persistency Bonus'!B19</f>
        <v>7</v>
      </c>
      <c r="C46" s="107">
        <f>'Table 7-2-Persistency Bonus'!M19</f>
        <v>246.53421246975662</v>
      </c>
      <c r="D46" s="90">
        <f>'Table 7-2-Persistency Bonus'!L19</f>
        <v>0</v>
      </c>
      <c r="E46" s="138">
        <f>'Table 7-2-Persistency Bonus'!G19</f>
        <v>2.75E-2</v>
      </c>
      <c r="F46" s="107">
        <f>'Table 7-2-Persistency Bonus'!N19</f>
        <v>0.84978491361064368</v>
      </c>
      <c r="G46" s="107">
        <f>'Table 7-2-Persistency Bonus'!O19</f>
        <v>1.5789294483314078</v>
      </c>
      <c r="H46" s="107">
        <f>'Table 7-2-Persistency Bonus'!P19</f>
        <v>12.337499321028529</v>
      </c>
      <c r="I46" s="136"/>
      <c r="J46" s="107"/>
    </row>
    <row r="47" spans="2:10" x14ac:dyDescent="0.25">
      <c r="B47" s="137">
        <f>'Table 7-2-Persistency Bonus'!B20</f>
        <v>8</v>
      </c>
      <c r="C47" s="107">
        <f>'Table 7-2-Persistency Bonus'!M20</f>
        <v>285.52243914846565</v>
      </c>
      <c r="D47" s="90">
        <f>'Table 7-2-Persistency Bonus'!L20</f>
        <v>0</v>
      </c>
      <c r="E47" s="138">
        <f>'Table 7-2-Persistency Bonus'!G20</f>
        <v>2.75E-2</v>
      </c>
      <c r="F47" s="107">
        <f>'Table 7-2-Persistency Bonus'!N20</f>
        <v>0.82704127845318109</v>
      </c>
      <c r="G47" s="107">
        <f>'Table 7-2-Persistency Bonus'!O20</f>
        <v>1.5789294483314078</v>
      </c>
      <c r="H47" s="107">
        <f>'Table 7-2-Persistency Bonus'!P20</f>
        <v>14.299130560517337</v>
      </c>
      <c r="I47" s="136"/>
      <c r="J47" s="107"/>
    </row>
    <row r="48" spans="2:10" x14ac:dyDescent="0.25">
      <c r="B48" s="137">
        <f>'Table 7-2-Persistency Bonus'!B21</f>
        <v>9</v>
      </c>
      <c r="C48" s="107">
        <f>'Table 7-2-Persistency Bonus'!M21</f>
        <v>325.89658757985598</v>
      </c>
      <c r="D48" s="90">
        <f>'Table 7-2-Persistency Bonus'!L21</f>
        <v>0</v>
      </c>
      <c r="E48" s="138">
        <f>'Table 7-2-Persistency Bonus'!G21</f>
        <v>2.75E-2</v>
      </c>
      <c r="F48" s="107">
        <f>'Table 7-2-Persistency Bonus'!N21</f>
        <v>0.80490635372572361</v>
      </c>
      <c r="G48" s="107">
        <f>'Table 7-2-Persistency Bonus'!O21</f>
        <v>1.5789294483314078</v>
      </c>
      <c r="H48" s="107">
        <f>'Table 7-2-Persistency Bonus'!P21</f>
        <v>16.314706659092089</v>
      </c>
      <c r="I48" s="136"/>
      <c r="J48" s="107"/>
    </row>
    <row r="49" spans="2:10" ht="15.75" thickBot="1" x14ac:dyDescent="0.3">
      <c r="B49" s="139">
        <f>'Table 7-2-Persistency Bonus'!B22</f>
        <v>10</v>
      </c>
      <c r="C49" s="115">
        <f>'Table 7-2-Persistency Bonus'!M22</f>
        <v>386.0999331079305</v>
      </c>
      <c r="D49" s="110">
        <f>'Table 7-2-Persistency Bonus'!L22</f>
        <v>18.385711100377645</v>
      </c>
      <c r="E49" s="140">
        <f>'Table 7-2-Persistency Bonus'!G22</f>
        <v>2.75E-2</v>
      </c>
      <c r="F49" s="115">
        <f>'Table 7-2-Persistency Bonus'!N22</f>
        <v>0.78336384790824676</v>
      </c>
      <c r="G49" s="115">
        <f>'Table 7-2-Persistency Bonus'!O22</f>
        <v>1.5789294483314078</v>
      </c>
      <c r="H49" s="115">
        <f>'Table 7-2-Persistency Bonus'!P22</f>
        <v>18.385711100377645</v>
      </c>
      <c r="I49" s="136"/>
      <c r="J49" s="107"/>
    </row>
  </sheetData>
  <mergeCells count="3">
    <mergeCell ref="C10:P10"/>
    <mergeCell ref="B36:H36"/>
    <mergeCell ref="B37:H37"/>
  </mergeCells>
  <phoneticPr fontId="11" type="noConversion"/>
  <pageMargins left="0.7" right="0.7" top="0.75" bottom="0.75" header="0.3" footer="0.3"/>
  <pageSetup orientation="portrait" horizontalDpi="1200" verticalDpi="1200"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CFF27A-6DF2-47EF-B595-4456CFE88264}">
  <sheetPr codeName="Sheet6"/>
  <dimension ref="A1:G9"/>
  <sheetViews>
    <sheetView showGridLines="0" workbookViewId="0">
      <selection activeCell="K26" sqref="K26"/>
    </sheetView>
  </sheetViews>
  <sheetFormatPr defaultColWidth="8.7109375" defaultRowHeight="15" x14ac:dyDescent="0.25"/>
  <cols>
    <col min="1" max="2" width="8.7109375" style="75"/>
    <col min="3" max="3" width="0.5703125" style="75" customWidth="1"/>
    <col min="4" max="4" width="19.42578125" style="75" customWidth="1"/>
    <col min="5" max="16384" width="8.7109375" style="75"/>
  </cols>
  <sheetData>
    <row r="1" spans="1:7" x14ac:dyDescent="0.25">
      <c r="A1" s="76" t="s">
        <v>368</v>
      </c>
    </row>
    <row r="2" spans="1:7" x14ac:dyDescent="0.25">
      <c r="A2" s="45" t="s">
        <v>369</v>
      </c>
    </row>
    <row r="3" spans="1:7" x14ac:dyDescent="0.25">
      <c r="A3" s="78" t="s">
        <v>370</v>
      </c>
    </row>
    <row r="4" spans="1:7" x14ac:dyDescent="0.25">
      <c r="A4" s="79" t="s">
        <v>379</v>
      </c>
    </row>
    <row r="5" spans="1:7" ht="15.75" thickBot="1" x14ac:dyDescent="0.3"/>
    <row r="6" spans="1:7" x14ac:dyDescent="0.25">
      <c r="D6" s="424" t="s">
        <v>362</v>
      </c>
      <c r="E6" s="425"/>
      <c r="F6" s="425"/>
      <c r="G6" s="426"/>
    </row>
    <row r="7" spans="1:7" ht="15.75" thickBot="1" x14ac:dyDescent="0.3">
      <c r="D7" s="421" t="s">
        <v>89</v>
      </c>
      <c r="E7" s="422"/>
      <c r="F7" s="422"/>
      <c r="G7" s="423"/>
    </row>
    <row r="8" spans="1:7" ht="15.75" thickBot="1" x14ac:dyDescent="0.3">
      <c r="D8" s="141" t="s">
        <v>90</v>
      </c>
      <c r="E8" s="142">
        <v>1</v>
      </c>
      <c r="F8" s="142">
        <v>2</v>
      </c>
      <c r="G8" s="142" t="s">
        <v>91</v>
      </c>
    </row>
    <row r="9" spans="1:7" ht="15.75" thickBot="1" x14ac:dyDescent="0.3">
      <c r="D9" s="143" t="s">
        <v>92</v>
      </c>
      <c r="E9" s="144">
        <v>200</v>
      </c>
      <c r="F9" s="144">
        <v>100</v>
      </c>
      <c r="G9" s="144">
        <v>50</v>
      </c>
    </row>
  </sheetData>
  <mergeCells count="2">
    <mergeCell ref="D7:G7"/>
    <mergeCell ref="D6:G6"/>
  </mergeCells>
  <pageMargins left="0.7" right="0.7" top="0.75" bottom="0.75" header="0.3" footer="0.3"/>
  <pageSetup orientation="portrait"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32A01-91D7-044B-B316-651BAC6656BB}">
  <sheetPr codeName="Sheet7"/>
  <dimension ref="A1:G32"/>
  <sheetViews>
    <sheetView showGridLines="0" workbookViewId="0">
      <selection activeCell="B17" sqref="B17"/>
    </sheetView>
  </sheetViews>
  <sheetFormatPr defaultColWidth="11.5703125" defaultRowHeight="15" x14ac:dyDescent="0.25"/>
  <cols>
    <col min="1" max="2" width="11.5703125" style="75"/>
    <col min="3" max="3" width="16.5703125" style="75" customWidth="1"/>
    <col min="4" max="4" width="11.42578125" style="75" customWidth="1"/>
    <col min="5" max="5" width="12.42578125" style="75" bestFit="1" customWidth="1"/>
    <col min="6" max="7" width="13.5703125" style="75" bestFit="1" customWidth="1"/>
    <col min="8" max="16384" width="11.5703125" style="75"/>
  </cols>
  <sheetData>
    <row r="1" spans="1:7" x14ac:dyDescent="0.25">
      <c r="A1" s="76" t="s">
        <v>368</v>
      </c>
    </row>
    <row r="2" spans="1:7" x14ac:dyDescent="0.25">
      <c r="A2" s="45" t="s">
        <v>369</v>
      </c>
    </row>
    <row r="3" spans="1:7" x14ac:dyDescent="0.25">
      <c r="A3" s="78" t="s">
        <v>370</v>
      </c>
    </row>
    <row r="4" spans="1:7" x14ac:dyDescent="0.25">
      <c r="A4" s="79" t="s">
        <v>379</v>
      </c>
    </row>
    <row r="5" spans="1:7" ht="15.75" thickBot="1" x14ac:dyDescent="0.3"/>
    <row r="6" spans="1:7" x14ac:dyDescent="0.25">
      <c r="A6" s="427" t="s">
        <v>363</v>
      </c>
      <c r="B6" s="427"/>
      <c r="C6" s="427"/>
      <c r="D6" s="427"/>
      <c r="E6" s="427"/>
      <c r="F6" s="427"/>
      <c r="G6" s="427"/>
    </row>
    <row r="7" spans="1:7" ht="15.75" thickBot="1" x14ac:dyDescent="0.3">
      <c r="A7" s="428" t="s">
        <v>266</v>
      </c>
      <c r="B7" s="428"/>
      <c r="C7" s="428"/>
      <c r="D7" s="428"/>
      <c r="E7" s="428"/>
      <c r="F7" s="428"/>
      <c r="G7" s="428"/>
    </row>
    <row r="8" spans="1:7" x14ac:dyDescent="0.25">
      <c r="A8" s="146">
        <v>-1</v>
      </c>
      <c r="B8" s="146">
        <f>A8-1</f>
        <v>-2</v>
      </c>
      <c r="C8" s="146">
        <f>B8-1</f>
        <v>-3</v>
      </c>
      <c r="D8" s="146">
        <f t="shared" ref="D8:G8" si="0">C8-1</f>
        <v>-4</v>
      </c>
      <c r="E8" s="146">
        <f t="shared" si="0"/>
        <v>-5</v>
      </c>
      <c r="F8" s="146">
        <f t="shared" si="0"/>
        <v>-6</v>
      </c>
      <c r="G8" s="146">
        <f t="shared" si="0"/>
        <v>-7</v>
      </c>
    </row>
    <row r="9" spans="1:7" ht="14.1" customHeight="1" x14ac:dyDescent="0.25">
      <c r="A9" s="429" t="s">
        <v>88</v>
      </c>
      <c r="B9" s="429" t="s">
        <v>93</v>
      </c>
      <c r="C9" s="429" t="s">
        <v>94</v>
      </c>
      <c r="D9" s="429" t="s">
        <v>95</v>
      </c>
      <c r="E9" s="147"/>
      <c r="F9" s="429" t="s">
        <v>36</v>
      </c>
      <c r="G9" s="429" t="s">
        <v>266</v>
      </c>
    </row>
    <row r="10" spans="1:7" ht="30.75" thickBot="1" x14ac:dyDescent="0.3">
      <c r="A10" s="430"/>
      <c r="B10" s="430"/>
      <c r="C10" s="430"/>
      <c r="D10" s="430"/>
      <c r="E10" s="99" t="s">
        <v>96</v>
      </c>
      <c r="F10" s="430"/>
      <c r="G10" s="430"/>
    </row>
    <row r="11" spans="1:7" x14ac:dyDescent="0.25">
      <c r="A11" s="133"/>
      <c r="B11" s="101"/>
      <c r="C11" s="101"/>
      <c r="D11" s="148">
        <f>'Actuarial balances'!H14</f>
        <v>100000</v>
      </c>
      <c r="E11" s="101"/>
      <c r="F11" s="149"/>
      <c r="G11" s="102"/>
    </row>
    <row r="12" spans="1:7" x14ac:dyDescent="0.25">
      <c r="A12" s="137">
        <v>1</v>
      </c>
      <c r="B12" s="46">
        <v>200</v>
      </c>
      <c r="C12" s="107">
        <f>(B12-$B$14)*D11/D$11</f>
        <v>150</v>
      </c>
      <c r="D12" s="88">
        <f>'Actuarial balances'!H15</f>
        <v>84932</v>
      </c>
      <c r="E12" s="150">
        <f>(G11+C12)/SUM(D11:D$31)</f>
        <v>1.5307106336763442E-4</v>
      </c>
      <c r="F12" s="107">
        <f>E12*D11</f>
        <v>15.307106336763441</v>
      </c>
      <c r="G12" s="108">
        <f t="shared" ref="G12:G31" si="1">G11+C12-F12</f>
        <v>134.69289366323656</v>
      </c>
    </row>
    <row r="13" spans="1:7" x14ac:dyDescent="0.25">
      <c r="A13" s="137">
        <f>A12+1</f>
        <v>2</v>
      </c>
      <c r="B13" s="46">
        <v>100</v>
      </c>
      <c r="C13" s="107">
        <f t="shared" ref="C13:C31" si="2">(B13-$B$14)*D12/D$11</f>
        <v>42.466000000000001</v>
      </c>
      <c r="D13" s="88">
        <f>'Actuarial balances'!H16</f>
        <v>74657.945823999995</v>
      </c>
      <c r="E13" s="150">
        <f>(G12+C13)/SUM(D12:D$31)</f>
        <v>2.0133133605300903E-4</v>
      </c>
      <c r="F13" s="107">
        <f t="shared" ref="F13:F31" si="3">E13*D12</f>
        <v>17.099473033654164</v>
      </c>
      <c r="G13" s="108">
        <f t="shared" si="1"/>
        <v>160.05942062958241</v>
      </c>
    </row>
    <row r="14" spans="1:7" x14ac:dyDescent="0.25">
      <c r="A14" s="137">
        <f t="shared" ref="A14:A30" si="4">A13+1</f>
        <v>3</v>
      </c>
      <c r="B14" s="46">
        <v>50</v>
      </c>
      <c r="C14" s="107">
        <f t="shared" si="2"/>
        <v>0</v>
      </c>
      <c r="D14" s="88">
        <f>'Actuarial balances'!H17</f>
        <v>67096.066465324504</v>
      </c>
      <c r="E14" s="150">
        <f>(G13+C14)/SUM(D13:D$31)</f>
        <v>2.01331336053009E-4</v>
      </c>
      <c r="F14" s="107">
        <f t="shared" si="3"/>
        <v>15.030983979719084</v>
      </c>
      <c r="G14" s="108">
        <f t="shared" si="1"/>
        <v>145.02843664986332</v>
      </c>
    </row>
    <row r="15" spans="1:7" x14ac:dyDescent="0.25">
      <c r="A15" s="137">
        <f t="shared" si="4"/>
        <v>4</v>
      </c>
      <c r="B15" s="46">
        <v>50</v>
      </c>
      <c r="C15" s="107">
        <f t="shared" si="2"/>
        <v>0</v>
      </c>
      <c r="D15" s="88">
        <f>'Actuarial balances'!H18</f>
        <v>60953.012294418608</v>
      </c>
      <c r="E15" s="150">
        <f>(G14+C15)/SUM(D14:D$31)</f>
        <v>2.0133133605300903E-4</v>
      </c>
      <c r="F15" s="107">
        <f t="shared" si="3"/>
        <v>13.508540705365277</v>
      </c>
      <c r="G15" s="108">
        <f t="shared" si="1"/>
        <v>131.51989594449805</v>
      </c>
    </row>
    <row r="16" spans="1:7" x14ac:dyDescent="0.25">
      <c r="A16" s="137">
        <f t="shared" si="4"/>
        <v>5</v>
      </c>
      <c r="B16" s="46">
        <v>50</v>
      </c>
      <c r="C16" s="107">
        <f t="shared" si="2"/>
        <v>0</v>
      </c>
      <c r="D16" s="88">
        <f>'Actuarial balances'!H19</f>
        <v>55967.982374522042</v>
      </c>
      <c r="E16" s="150">
        <f>(G15+C16)/SUM(D15:D$31)</f>
        <v>2.0133133605300903E-4</v>
      </c>
      <c r="F16" s="107">
        <f t="shared" si="3"/>
        <v>12.271751401690784</v>
      </c>
      <c r="G16" s="108">
        <f t="shared" si="1"/>
        <v>119.24814454280727</v>
      </c>
    </row>
    <row r="17" spans="1:7" x14ac:dyDescent="0.25">
      <c r="A17" s="137">
        <f t="shared" si="4"/>
        <v>6</v>
      </c>
      <c r="B17" s="46">
        <v>50</v>
      </c>
      <c r="C17" s="107">
        <f t="shared" si="2"/>
        <v>0</v>
      </c>
      <c r="D17" s="88">
        <f>'Actuarial balances'!H20</f>
        <v>51934.672111895059</v>
      </c>
      <c r="E17" s="150">
        <f>(G16+C17)/SUM(D16:D$31)</f>
        <v>2.01331336053009E-4</v>
      </c>
      <c r="F17" s="107">
        <f t="shared" si="3"/>
        <v>11.268108667653783</v>
      </c>
      <c r="G17" s="108">
        <f t="shared" si="1"/>
        <v>107.98003587515349</v>
      </c>
    </row>
    <row r="18" spans="1:7" x14ac:dyDescent="0.25">
      <c r="A18" s="137">
        <f t="shared" si="4"/>
        <v>7</v>
      </c>
      <c r="B18" s="46">
        <v>50</v>
      </c>
      <c r="C18" s="107">
        <f t="shared" si="2"/>
        <v>0</v>
      </c>
      <c r="D18" s="88">
        <f>'Actuarial balances'!H21</f>
        <v>48695.080747964843</v>
      </c>
      <c r="E18" s="150">
        <f>(G17+C18)/SUM(D17:D$31)</f>
        <v>2.01331336053009E-4</v>
      </c>
      <c r="F18" s="107">
        <f t="shared" si="3"/>
        <v>10.45607692376278</v>
      </c>
      <c r="G18" s="108">
        <f t="shared" si="1"/>
        <v>97.523958951390711</v>
      </c>
    </row>
    <row r="19" spans="1:7" x14ac:dyDescent="0.25">
      <c r="A19" s="137">
        <f t="shared" si="4"/>
        <v>8</v>
      </c>
      <c r="B19" s="46">
        <v>50</v>
      </c>
      <c r="C19" s="107">
        <f t="shared" si="2"/>
        <v>0</v>
      </c>
      <c r="D19" s="88">
        <f>'Actuarial balances'!H22</f>
        <v>46129.409985975697</v>
      </c>
      <c r="E19" s="150">
        <f>(G18+C19)/SUM(D18:D$31)</f>
        <v>2.0133133605300895E-4</v>
      </c>
      <c r="F19" s="107">
        <f t="shared" si="3"/>
        <v>9.8038456661969153</v>
      </c>
      <c r="G19" s="108">
        <f t="shared" si="1"/>
        <v>87.72011328519379</v>
      </c>
    </row>
    <row r="20" spans="1:7" x14ac:dyDescent="0.25">
      <c r="A20" s="137">
        <f t="shared" si="4"/>
        <v>9</v>
      </c>
      <c r="B20" s="46">
        <v>50</v>
      </c>
      <c r="C20" s="107">
        <f t="shared" si="2"/>
        <v>0</v>
      </c>
      <c r="D20" s="88">
        <f>'Actuarial balances'!H23</f>
        <v>44146.509620082536</v>
      </c>
      <c r="E20" s="150">
        <f>(G19+C20)/SUM(D19:D$31)</f>
        <v>2.0133133605300898E-4</v>
      </c>
      <c r="F20" s="107">
        <f t="shared" si="3"/>
        <v>9.2872957438135018</v>
      </c>
      <c r="G20" s="108">
        <f t="shared" si="1"/>
        <v>78.432817541380288</v>
      </c>
    </row>
    <row r="21" spans="1:7" x14ac:dyDescent="0.25">
      <c r="A21" s="137">
        <f t="shared" si="4"/>
        <v>10</v>
      </c>
      <c r="B21" s="46">
        <v>50</v>
      </c>
      <c r="C21" s="107">
        <f t="shared" si="2"/>
        <v>0</v>
      </c>
      <c r="D21" s="88">
        <f>'Actuarial balances'!H24</f>
        <v>42234.435995417516</v>
      </c>
      <c r="E21" s="150">
        <f>(G20+C21)/SUM(D20:D$31)</f>
        <v>2.0133133605300898E-4</v>
      </c>
      <c r="F21" s="107">
        <f t="shared" si="3"/>
        <v>8.8880757638882297</v>
      </c>
      <c r="G21" s="108">
        <f t="shared" si="1"/>
        <v>69.544741777492064</v>
      </c>
    </row>
    <row r="22" spans="1:7" x14ac:dyDescent="0.25">
      <c r="A22" s="137">
        <f t="shared" si="4"/>
        <v>11</v>
      </c>
      <c r="B22" s="46">
        <v>50</v>
      </c>
      <c r="C22" s="107">
        <f t="shared" si="2"/>
        <v>0</v>
      </c>
      <c r="D22" s="88">
        <f>'Actuarial balances'!H25</f>
        <v>40386.527376648417</v>
      </c>
      <c r="E22" s="150">
        <f>(G21+C22)/SUM(D21:D$31)</f>
        <v>2.01331336053009E-4</v>
      </c>
      <c r="F22" s="107">
        <f t="shared" si="3"/>
        <v>8.5031154264027045</v>
      </c>
      <c r="G22" s="108">
        <f t="shared" si="1"/>
        <v>61.041626351089363</v>
      </c>
    </row>
    <row r="23" spans="1:7" x14ac:dyDescent="0.25">
      <c r="A23" s="137">
        <f t="shared" si="4"/>
        <v>12</v>
      </c>
      <c r="B23" s="46">
        <v>50</v>
      </c>
      <c r="C23" s="107">
        <f t="shared" si="2"/>
        <v>0</v>
      </c>
      <c r="D23" s="88">
        <f>'Actuarial balances'!H26</f>
        <v>38593.107087350014</v>
      </c>
      <c r="E23" s="150">
        <f>(G22+C23)/SUM(D22:D$31)</f>
        <v>2.0133133605300903E-4</v>
      </c>
      <c r="F23" s="107">
        <f t="shared" si="3"/>
        <v>8.1310735152820524</v>
      </c>
      <c r="G23" s="108">
        <f t="shared" si="1"/>
        <v>52.910552835807309</v>
      </c>
    </row>
    <row r="24" spans="1:7" x14ac:dyDescent="0.25">
      <c r="A24" s="137">
        <f t="shared" si="4"/>
        <v>13</v>
      </c>
      <c r="B24" s="46">
        <v>50</v>
      </c>
      <c r="C24" s="107">
        <f t="shared" si="2"/>
        <v>0</v>
      </c>
      <c r="D24" s="88">
        <f>'Actuarial balances'!H27</f>
        <v>36850.057124371269</v>
      </c>
      <c r="E24" s="150">
        <f>(G23+C24)/SUM(D23:D$31)</f>
        <v>2.01331336053009E-4</v>
      </c>
      <c r="F24" s="107">
        <f t="shared" si="3"/>
        <v>7.770001812333029</v>
      </c>
      <c r="G24" s="108">
        <f t="shared" si="1"/>
        <v>45.140551023474281</v>
      </c>
    </row>
    <row r="25" spans="1:7" x14ac:dyDescent="0.25">
      <c r="A25" s="137">
        <f t="shared" si="4"/>
        <v>14</v>
      </c>
      <c r="B25" s="46">
        <v>50</v>
      </c>
      <c r="C25" s="107">
        <f t="shared" si="2"/>
        <v>0</v>
      </c>
      <c r="D25" s="88">
        <f>'Actuarial balances'!H28</f>
        <v>35158.138341585734</v>
      </c>
      <c r="E25" s="150">
        <f>(G24+C25)/SUM(D24:D$31)</f>
        <v>2.01331336053009E-4</v>
      </c>
      <c r="F25" s="107">
        <f t="shared" si="3"/>
        <v>7.4190712344793708</v>
      </c>
      <c r="G25" s="108">
        <f t="shared" si="1"/>
        <v>37.721479788994912</v>
      </c>
    </row>
    <row r="26" spans="1:7" x14ac:dyDescent="0.25">
      <c r="A26" s="137">
        <f t="shared" si="4"/>
        <v>15</v>
      </c>
      <c r="B26" s="46">
        <v>50</v>
      </c>
      <c r="C26" s="107">
        <f t="shared" si="2"/>
        <v>0</v>
      </c>
      <c r="D26" s="88">
        <f>'Actuarial balances'!H29</f>
        <v>33517.912745163405</v>
      </c>
      <c r="E26" s="150">
        <f>(G25+C26)/SUM(D25:D$31)</f>
        <v>2.0133133605300903E-4</v>
      </c>
      <c r="F26" s="107">
        <f t="shared" si="3"/>
        <v>7.078434965447979</v>
      </c>
      <c r="G26" s="108">
        <f t="shared" si="1"/>
        <v>30.643044823546933</v>
      </c>
    </row>
    <row r="27" spans="1:7" x14ac:dyDescent="0.25">
      <c r="A27" s="137">
        <f t="shared" si="4"/>
        <v>16</v>
      </c>
      <c r="B27" s="46">
        <v>50</v>
      </c>
      <c r="C27" s="107">
        <f t="shared" si="2"/>
        <v>0</v>
      </c>
      <c r="D27" s="88">
        <f>'Actuarial balances'!H30</f>
        <v>31927.179420608143</v>
      </c>
      <c r="E27" s="150">
        <f>(G26+C27)/SUM(D26:D$31)</f>
        <v>2.0133133605300903E-4</v>
      </c>
      <c r="F27" s="107">
        <f t="shared" si="3"/>
        <v>6.7482061546919283</v>
      </c>
      <c r="G27" s="108">
        <f t="shared" si="1"/>
        <v>23.894838668855005</v>
      </c>
    </row>
    <row r="28" spans="1:7" x14ac:dyDescent="0.25">
      <c r="A28" s="137">
        <f t="shared" si="4"/>
        <v>17</v>
      </c>
      <c r="B28" s="46">
        <v>50</v>
      </c>
      <c r="C28" s="107">
        <f t="shared" si="2"/>
        <v>0</v>
      </c>
      <c r="D28" s="88">
        <f>'Actuarial balances'!H31</f>
        <v>30390.179461556527</v>
      </c>
      <c r="E28" s="150">
        <f>(G27+C28)/SUM(D27:D$31)</f>
        <v>2.01331336053009E-4</v>
      </c>
      <c r="F28" s="107">
        <f t="shared" si="3"/>
        <v>6.4279416891551717</v>
      </c>
      <c r="G28" s="108">
        <f t="shared" si="1"/>
        <v>17.466896979699833</v>
      </c>
    </row>
    <row r="29" spans="1:7" x14ac:dyDescent="0.25">
      <c r="A29" s="137">
        <f t="shared" si="4"/>
        <v>18</v>
      </c>
      <c r="B29" s="46">
        <v>50</v>
      </c>
      <c r="C29" s="107">
        <f t="shared" si="2"/>
        <v>0</v>
      </c>
      <c r="D29" s="88">
        <f>'Actuarial balances'!H32</f>
        <v>28903.24876086149</v>
      </c>
      <c r="E29" s="150">
        <f>(G28+C29)/SUM(D28:D$31)</f>
        <v>2.0133133605300898E-4</v>
      </c>
      <c r="F29" s="107">
        <f t="shared" si="3"/>
        <v>6.1184954338858883</v>
      </c>
      <c r="G29" s="108">
        <f t="shared" si="1"/>
        <v>11.348401545813944</v>
      </c>
    </row>
    <row r="30" spans="1:7" x14ac:dyDescent="0.25">
      <c r="A30" s="137">
        <f t="shared" si="4"/>
        <v>19</v>
      </c>
      <c r="B30" s="46">
        <v>50</v>
      </c>
      <c r="C30" s="107">
        <f t="shared" si="2"/>
        <v>0</v>
      </c>
      <c r="D30" s="88">
        <f>'Actuarial balances'!H33</f>
        <v>27463.543256184465</v>
      </c>
      <c r="E30" s="150">
        <f>(G29+C30)/SUM(D29:D$31)</f>
        <v>2.01331336053009E-4</v>
      </c>
      <c r="F30" s="107">
        <f t="shared" si="3"/>
        <v>5.8191296892967204</v>
      </c>
      <c r="G30" s="108">
        <f t="shared" si="1"/>
        <v>5.5292718565172239</v>
      </c>
    </row>
    <row r="31" spans="1:7" ht="15.75" thickBot="1" x14ac:dyDescent="0.3">
      <c r="A31" s="137">
        <f>A30+1</f>
        <v>20</v>
      </c>
      <c r="B31" s="46">
        <v>50</v>
      </c>
      <c r="C31" s="107">
        <f t="shared" si="2"/>
        <v>0</v>
      </c>
      <c r="D31" s="88">
        <f>'Actuarial balances'!H34</f>
        <v>0</v>
      </c>
      <c r="E31" s="150">
        <f>(G30+C31)/SUM(D30:D$31)</f>
        <v>2.01331336053009E-4</v>
      </c>
      <c r="F31" s="107">
        <f t="shared" si="3"/>
        <v>5.5292718565172239</v>
      </c>
      <c r="G31" s="108">
        <f t="shared" si="1"/>
        <v>0</v>
      </c>
    </row>
    <row r="32" spans="1:7" ht="15.75" thickBot="1" x14ac:dyDescent="0.3">
      <c r="A32" s="151" t="s">
        <v>43</v>
      </c>
      <c r="B32" s="152">
        <f t="shared" ref="B32:F32" si="5">SUM(B11:B31)</f>
        <v>1200</v>
      </c>
      <c r="C32" s="152">
        <f t="shared" si="5"/>
        <v>192.46600000000001</v>
      </c>
      <c r="D32" s="153">
        <f t="shared" si="5"/>
        <v>979937.00899393007</v>
      </c>
      <c r="E32" s="154"/>
      <c r="F32" s="152">
        <f t="shared" si="5"/>
        <v>192.46600000000001</v>
      </c>
      <c r="G32" s="155"/>
    </row>
  </sheetData>
  <mergeCells count="8">
    <mergeCell ref="A6:G6"/>
    <mergeCell ref="A7:G7"/>
    <mergeCell ref="D9:D10"/>
    <mergeCell ref="A9:A10"/>
    <mergeCell ref="B9:B10"/>
    <mergeCell ref="C9:C10"/>
    <mergeCell ref="G9:G10"/>
    <mergeCell ref="F9:F10"/>
  </mergeCells>
  <pageMargins left="0.7" right="0.7" top="0.75" bottom="0.75" header="0.3" footer="0.3"/>
  <pageSetup orientation="portrait"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43AC1-7B12-3E47-A47F-A859E567DA3E}">
  <sheetPr codeName="Sheet8"/>
  <dimension ref="A1:N123"/>
  <sheetViews>
    <sheetView showGridLines="0" workbookViewId="0">
      <selection activeCell="F28" sqref="F28"/>
    </sheetView>
  </sheetViews>
  <sheetFormatPr defaultColWidth="8.5703125" defaultRowHeight="15" x14ac:dyDescent="0.25"/>
  <cols>
    <col min="1" max="1" width="16.5703125" style="75" bestFit="1" customWidth="1"/>
    <col min="2" max="2" width="6.42578125" style="81" customWidth="1"/>
    <col min="3" max="4" width="8.85546875" style="75" customWidth="1"/>
    <col min="5" max="6" width="8.5703125" style="75" customWidth="1"/>
    <col min="7" max="7" width="8.42578125" style="75" customWidth="1"/>
    <col min="8" max="8" width="8.140625" style="75" customWidth="1"/>
    <col min="9" max="9" width="9.140625" style="75" customWidth="1"/>
    <col min="10" max="10" width="8.5703125" style="75" customWidth="1"/>
    <col min="11" max="11" width="8.42578125" style="75" customWidth="1"/>
    <col min="12" max="12" width="8" style="75" customWidth="1"/>
    <col min="13" max="13" width="9.140625" style="75" customWidth="1"/>
    <col min="14" max="15" width="10.5703125" style="75" customWidth="1"/>
    <col min="16" max="16384" width="8.5703125" style="75"/>
  </cols>
  <sheetData>
    <row r="1" spans="1:10" x14ac:dyDescent="0.25">
      <c r="A1" s="76" t="s">
        <v>368</v>
      </c>
    </row>
    <row r="2" spans="1:10" x14ac:dyDescent="0.25">
      <c r="A2" s="45" t="s">
        <v>369</v>
      </c>
    </row>
    <row r="3" spans="1:10" x14ac:dyDescent="0.25">
      <c r="A3" s="78" t="s">
        <v>370</v>
      </c>
    </row>
    <row r="4" spans="1:10" x14ac:dyDescent="0.25">
      <c r="A4" s="79" t="s">
        <v>379</v>
      </c>
    </row>
    <row r="6" spans="1:10" x14ac:dyDescent="0.25">
      <c r="A6" s="1" t="s">
        <v>267</v>
      </c>
      <c r="B6" s="38"/>
    </row>
    <row r="7" spans="1:10" x14ac:dyDescent="0.25">
      <c r="A7" s="1" t="s">
        <v>46</v>
      </c>
      <c r="B7" s="38"/>
    </row>
    <row r="8" spans="1:10" x14ac:dyDescent="0.25">
      <c r="A8" s="1" t="s">
        <v>97</v>
      </c>
    </row>
    <row r="10" spans="1:10" x14ac:dyDescent="0.25">
      <c r="A10" s="75" t="s">
        <v>98</v>
      </c>
      <c r="C10" s="84">
        <f>'Tables 26a,b-MasterInputs'!D13</f>
        <v>1000</v>
      </c>
    </row>
    <row r="11" spans="1:10" x14ac:dyDescent="0.25">
      <c r="A11" s="75" t="s">
        <v>99</v>
      </c>
      <c r="C11" s="84">
        <f>'Tables 26a,b-MasterInputs'!D14</f>
        <v>100</v>
      </c>
    </row>
    <row r="12" spans="1:10" x14ac:dyDescent="0.25">
      <c r="A12" s="75" t="s">
        <v>100</v>
      </c>
      <c r="C12" s="84">
        <f>'Tables 26a,b-MasterInputs'!D16</f>
        <v>100000</v>
      </c>
    </row>
    <row r="13" spans="1:10" x14ac:dyDescent="0.25">
      <c r="A13" s="75" t="s">
        <v>101</v>
      </c>
      <c r="C13" s="84">
        <f>'Tables 26a,b-MasterInputs'!D17</f>
        <v>100000</v>
      </c>
    </row>
    <row r="14" spans="1:10" x14ac:dyDescent="0.25">
      <c r="C14" s="84"/>
    </row>
    <row r="15" spans="1:10" ht="15.75" thickBot="1" x14ac:dyDescent="0.3"/>
    <row r="16" spans="1:10" x14ac:dyDescent="0.25">
      <c r="B16" s="431" t="s">
        <v>268</v>
      </c>
      <c r="C16" s="432"/>
      <c r="D16" s="432"/>
      <c r="E16" s="432"/>
      <c r="F16" s="432"/>
      <c r="G16" s="432"/>
      <c r="H16" s="432"/>
      <c r="I16" s="432"/>
      <c r="J16" s="433"/>
    </row>
    <row r="17" spans="2:10" ht="15.75" thickBot="1" x14ac:dyDescent="0.3">
      <c r="B17" s="434" t="s">
        <v>102</v>
      </c>
      <c r="C17" s="435"/>
      <c r="D17" s="435"/>
      <c r="E17" s="435"/>
      <c r="F17" s="435"/>
      <c r="G17" s="435"/>
      <c r="H17" s="435"/>
      <c r="I17" s="435"/>
      <c r="J17" s="436"/>
    </row>
    <row r="18" spans="2:10" x14ac:dyDescent="0.25">
      <c r="B18" s="146"/>
      <c r="C18" s="146">
        <f>B18-1</f>
        <v>-1</v>
      </c>
      <c r="D18" s="146">
        <f t="shared" ref="D18:J18" si="0">C18-1</f>
        <v>-2</v>
      </c>
      <c r="E18" s="146">
        <f t="shared" si="0"/>
        <v>-3</v>
      </c>
      <c r="F18" s="146">
        <f t="shared" si="0"/>
        <v>-4</v>
      </c>
      <c r="G18" s="146">
        <f t="shared" si="0"/>
        <v>-5</v>
      </c>
      <c r="H18" s="146">
        <f t="shared" si="0"/>
        <v>-6</v>
      </c>
      <c r="I18" s="146">
        <f t="shared" si="0"/>
        <v>-7</v>
      </c>
      <c r="J18" s="146">
        <f t="shared" si="0"/>
        <v>-8</v>
      </c>
    </row>
    <row r="19" spans="2:10" s="98" customFormat="1" ht="60.75" thickBot="1" x14ac:dyDescent="0.3">
      <c r="B19" s="156" t="s">
        <v>88</v>
      </c>
      <c r="C19" s="99" t="s">
        <v>103</v>
      </c>
      <c r="D19" s="99" t="s">
        <v>104</v>
      </c>
      <c r="E19" s="99" t="s">
        <v>105</v>
      </c>
      <c r="F19" s="99" t="s">
        <v>106</v>
      </c>
      <c r="G19" s="99" t="s">
        <v>107</v>
      </c>
      <c r="H19" s="99" t="s">
        <v>77</v>
      </c>
      <c r="I19" s="99" t="s">
        <v>108</v>
      </c>
      <c r="J19" s="99" t="s">
        <v>109</v>
      </c>
    </row>
    <row r="20" spans="2:10" x14ac:dyDescent="0.25">
      <c r="B20" s="93">
        <v>1</v>
      </c>
      <c r="C20" s="157">
        <v>10</v>
      </c>
      <c r="D20" s="158">
        <f>'Tables 26a,b-MasterInputs'!D31</f>
        <v>0.05</v>
      </c>
      <c r="E20" s="158">
        <f>'Tables 26a,b-MasterInputs'!F31</f>
        <v>2.75E-2</v>
      </c>
      <c r="F20" s="159">
        <f>'Tables 26a,b-MasterInputs'!E56</f>
        <v>1.6000000000000001E-3</v>
      </c>
      <c r="G20" s="158">
        <f>'Tables 26a,b-MasterInputs'!F56</f>
        <v>0.02</v>
      </c>
      <c r="H20" s="160">
        <f>'Tables 26a,b-MasterInputs'!G56</f>
        <v>20</v>
      </c>
      <c r="I20" s="161">
        <f>'Tables 26a,b-MasterInputs'!I56</f>
        <v>8.0000000000000004E-4</v>
      </c>
      <c r="J20" s="162">
        <f>'Tables 26a,b-MasterInputs'!J56</f>
        <v>0.15</v>
      </c>
    </row>
    <row r="21" spans="2:10" x14ac:dyDescent="0.25">
      <c r="B21" s="163">
        <f>B20+1</f>
        <v>2</v>
      </c>
      <c r="C21" s="164">
        <v>10</v>
      </c>
      <c r="D21" s="106">
        <f>'Tables 26a,b-MasterInputs'!D32</f>
        <v>0.05</v>
      </c>
      <c r="E21" s="106">
        <f>'Tables 26a,b-MasterInputs'!F32</f>
        <v>2.75E-2</v>
      </c>
      <c r="F21" s="165">
        <f>'Tables 26a,b-MasterInputs'!E57</f>
        <v>2.2000000000000001E-3</v>
      </c>
      <c r="G21" s="106">
        <f>'Tables 26a,b-MasterInputs'!F57</f>
        <v>0.02</v>
      </c>
      <c r="H21" s="166">
        <f>'Tables 26a,b-MasterInputs'!G57</f>
        <v>20</v>
      </c>
      <c r="I21" s="105">
        <f>'Tables 26a,b-MasterInputs'!I57</f>
        <v>1.1000000000000001E-3</v>
      </c>
      <c r="J21" s="167">
        <f>'Tables 26a,b-MasterInputs'!J57</f>
        <v>0.12</v>
      </c>
    </row>
    <row r="22" spans="2:10" x14ac:dyDescent="0.25">
      <c r="B22" s="163">
        <f t="shared" ref="B22:B39" si="1">B21+1</f>
        <v>3</v>
      </c>
      <c r="C22" s="164">
        <v>10</v>
      </c>
      <c r="D22" s="106">
        <f>'Tables 26a,b-MasterInputs'!D33</f>
        <v>0.05</v>
      </c>
      <c r="E22" s="106">
        <f>'Tables 26a,b-MasterInputs'!F33</f>
        <v>2.75E-2</v>
      </c>
      <c r="F22" s="165">
        <f>'Tables 26a,b-MasterInputs'!E58</f>
        <v>2.8600000000000001E-3</v>
      </c>
      <c r="G22" s="106">
        <f>'Tables 26a,b-MasterInputs'!F58</f>
        <v>0.02</v>
      </c>
      <c r="H22" s="166">
        <f>'Tables 26a,b-MasterInputs'!G58</f>
        <v>20</v>
      </c>
      <c r="I22" s="105">
        <f>'Tables 26a,b-MasterInputs'!I58</f>
        <v>1.4300000000000001E-3</v>
      </c>
      <c r="J22" s="167">
        <f>'Tables 26a,b-MasterInputs'!J58</f>
        <v>0.1</v>
      </c>
    </row>
    <row r="23" spans="2:10" x14ac:dyDescent="0.25">
      <c r="B23" s="163">
        <f t="shared" si="1"/>
        <v>4</v>
      </c>
      <c r="C23" s="164">
        <v>10</v>
      </c>
      <c r="D23" s="106">
        <f>'Tables 26a,b-MasterInputs'!D34</f>
        <v>0.05</v>
      </c>
      <c r="E23" s="106">
        <f>'Tables 26a,b-MasterInputs'!F34</f>
        <v>2.75E-2</v>
      </c>
      <c r="F23" s="165">
        <f>'Tables 26a,b-MasterInputs'!E59</f>
        <v>3.4199999999999999E-3</v>
      </c>
      <c r="G23" s="106">
        <f>'Tables 26a,b-MasterInputs'!F59</f>
        <v>0.02</v>
      </c>
      <c r="H23" s="166">
        <f>'Tables 26a,b-MasterInputs'!G59</f>
        <v>20</v>
      </c>
      <c r="I23" s="105">
        <f>'Tables 26a,b-MasterInputs'!I59</f>
        <v>1.7099999999999999E-3</v>
      </c>
      <c r="J23" s="167">
        <f>'Tables 26a,b-MasterInputs'!J59</f>
        <v>0.09</v>
      </c>
    </row>
    <row r="24" spans="2:10" ht="13.35" customHeight="1" x14ac:dyDescent="0.25">
      <c r="B24" s="163">
        <f t="shared" si="1"/>
        <v>5</v>
      </c>
      <c r="C24" s="164">
        <v>10</v>
      </c>
      <c r="D24" s="106">
        <f>'Tables 26a,b-MasterInputs'!D35</f>
        <v>0.05</v>
      </c>
      <c r="E24" s="106">
        <f>'Tables 26a,b-MasterInputs'!F35</f>
        <v>2.75E-2</v>
      </c>
      <c r="F24" s="165">
        <f>'Tables 26a,b-MasterInputs'!E60</f>
        <v>3.8800000000000002E-3</v>
      </c>
      <c r="G24" s="106">
        <f>'Tables 26a,b-MasterInputs'!F60</f>
        <v>0.02</v>
      </c>
      <c r="H24" s="166">
        <f>'Tables 26a,b-MasterInputs'!G60</f>
        <v>20</v>
      </c>
      <c r="I24" s="105">
        <f>'Tables 26a,b-MasterInputs'!I60</f>
        <v>1.9400000000000001E-3</v>
      </c>
      <c r="J24" s="167">
        <f>'Tables 26a,b-MasterInputs'!J60</f>
        <v>0.08</v>
      </c>
    </row>
    <row r="25" spans="2:10" x14ac:dyDescent="0.25">
      <c r="B25" s="163">
        <f t="shared" si="1"/>
        <v>6</v>
      </c>
      <c r="C25" s="164">
        <v>10</v>
      </c>
      <c r="D25" s="106">
        <f>'Tables 26a,b-MasterInputs'!D36</f>
        <v>0.05</v>
      </c>
      <c r="E25" s="106">
        <f>'Tables 26a,b-MasterInputs'!F36</f>
        <v>2.75E-2</v>
      </c>
      <c r="F25" s="165">
        <f>'Tables 26a,b-MasterInputs'!E61</f>
        <v>3.9960000000000004E-3</v>
      </c>
      <c r="G25" s="106">
        <f>'Tables 26a,b-MasterInputs'!F61</f>
        <v>0.02</v>
      </c>
      <c r="H25" s="166">
        <f>'Tables 26a,b-MasterInputs'!G61</f>
        <v>20</v>
      </c>
      <c r="I25" s="105">
        <f>'Tables 26a,b-MasterInputs'!I61</f>
        <v>2.2200000000000002E-3</v>
      </c>
      <c r="J25" s="167">
        <f>'Tables 26a,b-MasterInputs'!J61</f>
        <v>7.0000000000000007E-2</v>
      </c>
    </row>
    <row r="26" spans="2:10" x14ac:dyDescent="0.25">
      <c r="B26" s="163">
        <f t="shared" si="1"/>
        <v>7</v>
      </c>
      <c r="C26" s="164">
        <v>10</v>
      </c>
      <c r="D26" s="106">
        <f>'Tables 26a,b-MasterInputs'!D37</f>
        <v>0.05</v>
      </c>
      <c r="E26" s="106">
        <f>'Tables 26a,b-MasterInputs'!F37</f>
        <v>2.75E-2</v>
      </c>
      <c r="F26" s="165">
        <f>'Tables 26a,b-MasterInputs'!E62</f>
        <v>4.0480000000000004E-3</v>
      </c>
      <c r="G26" s="106">
        <f>'Tables 26a,b-MasterInputs'!F62</f>
        <v>0.02</v>
      </c>
      <c r="H26" s="166">
        <f>'Tables 26a,b-MasterInputs'!G62</f>
        <v>20</v>
      </c>
      <c r="I26" s="105">
        <f>'Tables 26a,b-MasterInputs'!I62</f>
        <v>2.5300000000000001E-3</v>
      </c>
      <c r="J26" s="167">
        <f>'Tables 26a,b-MasterInputs'!J62</f>
        <v>0.06</v>
      </c>
    </row>
    <row r="27" spans="2:10" x14ac:dyDescent="0.25">
      <c r="B27" s="163">
        <f t="shared" si="1"/>
        <v>8</v>
      </c>
      <c r="C27" s="164">
        <v>10</v>
      </c>
      <c r="D27" s="106">
        <f>'Tables 26a,b-MasterInputs'!D38</f>
        <v>0.05</v>
      </c>
      <c r="E27" s="106">
        <f>'Tables 26a,b-MasterInputs'!F38</f>
        <v>2.75E-2</v>
      </c>
      <c r="F27" s="165">
        <f>'Tables 26a,b-MasterInputs'!E63</f>
        <v>3.9620000000000002E-3</v>
      </c>
      <c r="G27" s="106">
        <f>'Tables 26a,b-MasterInputs'!F63</f>
        <v>0.02</v>
      </c>
      <c r="H27" s="166">
        <f>'Tables 26a,b-MasterInputs'!G63</f>
        <v>20</v>
      </c>
      <c r="I27" s="105">
        <f>'Tables 26a,b-MasterInputs'!I63</f>
        <v>2.8300000000000001E-3</v>
      </c>
      <c r="J27" s="167">
        <f>'Tables 26a,b-MasterInputs'!J63</f>
        <v>0.05</v>
      </c>
    </row>
    <row r="28" spans="2:10" x14ac:dyDescent="0.25">
      <c r="B28" s="163">
        <f t="shared" si="1"/>
        <v>9</v>
      </c>
      <c r="C28" s="164">
        <v>10</v>
      </c>
      <c r="D28" s="106">
        <f>'Tables 26a,b-MasterInputs'!D39</f>
        <v>0.05</v>
      </c>
      <c r="E28" s="106">
        <f>'Tables 26a,b-MasterInputs'!F39</f>
        <v>2.75E-2</v>
      </c>
      <c r="F28" s="165">
        <f>'Tables 26a,b-MasterInputs'!E64</f>
        <v>3.7319999999999996E-3</v>
      </c>
      <c r="G28" s="106">
        <f>'Tables 26a,b-MasterInputs'!F64</f>
        <v>0.02</v>
      </c>
      <c r="H28" s="166">
        <f>'Tables 26a,b-MasterInputs'!G64</f>
        <v>20</v>
      </c>
      <c r="I28" s="105">
        <f>'Tables 26a,b-MasterInputs'!I64</f>
        <v>3.1099999999999999E-3</v>
      </c>
      <c r="J28" s="167">
        <f>'Tables 26a,b-MasterInputs'!J64</f>
        <v>0.04</v>
      </c>
    </row>
    <row r="29" spans="2:10" x14ac:dyDescent="0.25">
      <c r="B29" s="163">
        <f t="shared" si="1"/>
        <v>10</v>
      </c>
      <c r="C29" s="164">
        <v>10</v>
      </c>
      <c r="D29" s="106">
        <f>'Tables 26a,b-MasterInputs'!D40</f>
        <v>0.05</v>
      </c>
      <c r="E29" s="106">
        <f>'Tables 26a,b-MasterInputs'!F40</f>
        <v>2.75E-2</v>
      </c>
      <c r="F29" s="165">
        <f>'Tables 26a,b-MasterInputs'!E65</f>
        <v>3.4499999999999999E-3</v>
      </c>
      <c r="G29" s="106">
        <f>'Tables 26a,b-MasterInputs'!F65</f>
        <v>0.02</v>
      </c>
      <c r="H29" s="166">
        <f>'Tables 26a,b-MasterInputs'!G65</f>
        <v>20</v>
      </c>
      <c r="I29" s="105">
        <f>'Tables 26a,b-MasterInputs'!I65</f>
        <v>3.4499999999999999E-3</v>
      </c>
      <c r="J29" s="167">
        <f>'Tables 26a,b-MasterInputs'!J65</f>
        <v>0.04</v>
      </c>
    </row>
    <row r="30" spans="2:10" x14ac:dyDescent="0.25">
      <c r="B30" s="163">
        <f t="shared" si="1"/>
        <v>11</v>
      </c>
      <c r="C30" s="164">
        <v>10</v>
      </c>
      <c r="D30" s="106">
        <f>'Tables 26a,b-MasterInputs'!D41</f>
        <v>0.05</v>
      </c>
      <c r="E30" s="106">
        <f>'Tables 26a,b-MasterInputs'!F41</f>
        <v>2.75E-2</v>
      </c>
      <c r="F30" s="165">
        <f>'Tables 26a,b-MasterInputs'!E66</f>
        <v>3.5190000000000004E-3</v>
      </c>
      <c r="G30" s="106">
        <f>'Tables 26a,b-MasterInputs'!F66</f>
        <v>0.02</v>
      </c>
      <c r="H30" s="166">
        <f>'Tables 26a,b-MasterInputs'!G66</f>
        <v>20</v>
      </c>
      <c r="I30" s="105">
        <f>'Tables 26a,b-MasterInputs'!I66</f>
        <v>3.9100000000000003E-3</v>
      </c>
      <c r="J30" s="167">
        <f>'Tables 26a,b-MasterInputs'!J66</f>
        <v>0.04</v>
      </c>
    </row>
    <row r="31" spans="2:10" x14ac:dyDescent="0.25">
      <c r="B31" s="163">
        <f t="shared" si="1"/>
        <v>12</v>
      </c>
      <c r="C31" s="164">
        <v>10</v>
      </c>
      <c r="D31" s="106">
        <f>'Tables 26a,b-MasterInputs'!D42</f>
        <v>0.05</v>
      </c>
      <c r="E31" s="106">
        <f>'Tables 26a,b-MasterInputs'!F42</f>
        <v>2.75E-2</v>
      </c>
      <c r="F31" s="165">
        <f>'Tables 26a,b-MasterInputs'!E67</f>
        <v>4.1310000000000001E-3</v>
      </c>
      <c r="G31" s="106">
        <f>'Tables 26a,b-MasterInputs'!F67</f>
        <v>0.02</v>
      </c>
      <c r="H31" s="166">
        <f>'Tables 26a,b-MasterInputs'!G67</f>
        <v>20</v>
      </c>
      <c r="I31" s="105">
        <f>'Tables 26a,b-MasterInputs'!I67</f>
        <v>4.5900000000000003E-3</v>
      </c>
      <c r="J31" s="167">
        <f>'Tables 26a,b-MasterInputs'!J67</f>
        <v>0.04</v>
      </c>
    </row>
    <row r="32" spans="2:10" x14ac:dyDescent="0.25">
      <c r="B32" s="163">
        <f t="shared" si="1"/>
        <v>13</v>
      </c>
      <c r="C32" s="164">
        <v>10</v>
      </c>
      <c r="D32" s="106">
        <f>'Tables 26a,b-MasterInputs'!D43</f>
        <v>0.05</v>
      </c>
      <c r="E32" s="106">
        <f>'Tables 26a,b-MasterInputs'!F43</f>
        <v>2.75E-2</v>
      </c>
      <c r="F32" s="165">
        <f>'Tables 26a,b-MasterInputs'!E68</f>
        <v>4.8419999999999999E-3</v>
      </c>
      <c r="G32" s="106">
        <f>'Tables 26a,b-MasterInputs'!F68</f>
        <v>0.02</v>
      </c>
      <c r="H32" s="166">
        <f>'Tables 26a,b-MasterInputs'!G68</f>
        <v>20</v>
      </c>
      <c r="I32" s="105">
        <f>'Tables 26a,b-MasterInputs'!I68</f>
        <v>5.3800000000000002E-3</v>
      </c>
      <c r="J32" s="167">
        <f>'Tables 26a,b-MasterInputs'!J68</f>
        <v>0.04</v>
      </c>
    </row>
    <row r="33" spans="2:14" x14ac:dyDescent="0.25">
      <c r="B33" s="163">
        <f t="shared" si="1"/>
        <v>14</v>
      </c>
      <c r="C33" s="164">
        <v>10</v>
      </c>
      <c r="D33" s="106">
        <f>'Tables 26a,b-MasterInputs'!D44</f>
        <v>0.05</v>
      </c>
      <c r="E33" s="106">
        <f>'Tables 26a,b-MasterInputs'!F44</f>
        <v>2.75E-2</v>
      </c>
      <c r="F33" s="165">
        <f>'Tables 26a,b-MasterInputs'!E69</f>
        <v>5.5439999999999994E-3</v>
      </c>
      <c r="G33" s="106">
        <f>'Tables 26a,b-MasterInputs'!F69</f>
        <v>0.02</v>
      </c>
      <c r="H33" s="166">
        <f>'Tables 26a,b-MasterInputs'!G69</f>
        <v>20</v>
      </c>
      <c r="I33" s="105">
        <f>'Tables 26a,b-MasterInputs'!I69</f>
        <v>6.1599999999999997E-3</v>
      </c>
      <c r="J33" s="167">
        <f>'Tables 26a,b-MasterInputs'!J69</f>
        <v>0.04</v>
      </c>
    </row>
    <row r="34" spans="2:14" x14ac:dyDescent="0.25">
      <c r="B34" s="163">
        <f t="shared" si="1"/>
        <v>15</v>
      </c>
      <c r="C34" s="164">
        <v>10</v>
      </c>
      <c r="D34" s="106">
        <f>'Tables 26a,b-MasterInputs'!D45</f>
        <v>0.05</v>
      </c>
      <c r="E34" s="106">
        <f>'Tables 26a,b-MasterInputs'!F45</f>
        <v>2.75E-2</v>
      </c>
      <c r="F34" s="165">
        <f>'Tables 26a,b-MasterInputs'!E70</f>
        <v>6.2370000000000004E-3</v>
      </c>
      <c r="G34" s="106">
        <f>'Tables 26a,b-MasterInputs'!F70</f>
        <v>0.02</v>
      </c>
      <c r="H34" s="166">
        <f>'Tables 26a,b-MasterInputs'!G70</f>
        <v>20</v>
      </c>
      <c r="I34" s="105">
        <f>'Tables 26a,b-MasterInputs'!I70</f>
        <v>6.9300000000000004E-3</v>
      </c>
      <c r="J34" s="167">
        <f>'Tables 26a,b-MasterInputs'!J70</f>
        <v>0.04</v>
      </c>
    </row>
    <row r="35" spans="2:14" x14ac:dyDescent="0.25">
      <c r="B35" s="163">
        <f t="shared" si="1"/>
        <v>16</v>
      </c>
      <c r="C35" s="164">
        <v>10</v>
      </c>
      <c r="D35" s="106">
        <f>'Tables 26a,b-MasterInputs'!D46</f>
        <v>0.05</v>
      </c>
      <c r="E35" s="106">
        <f>'Tables 26a,b-MasterInputs'!F46</f>
        <v>2.75E-2</v>
      </c>
      <c r="F35" s="165">
        <f>'Tables 26a,b-MasterInputs'!E71</f>
        <v>6.9930000000000001E-3</v>
      </c>
      <c r="G35" s="106">
        <f>'Tables 26a,b-MasterInputs'!F71</f>
        <v>0.02</v>
      </c>
      <c r="H35" s="166">
        <f>'Tables 26a,b-MasterInputs'!G71</f>
        <v>20</v>
      </c>
      <c r="I35" s="105">
        <f>'Tables 26a,b-MasterInputs'!I71</f>
        <v>7.77E-3</v>
      </c>
      <c r="J35" s="167">
        <f>'Tables 26a,b-MasterInputs'!J71</f>
        <v>0.04</v>
      </c>
    </row>
    <row r="36" spans="2:14" x14ac:dyDescent="0.25">
      <c r="B36" s="163">
        <f t="shared" si="1"/>
        <v>17</v>
      </c>
      <c r="C36" s="164">
        <v>10</v>
      </c>
      <c r="D36" s="106">
        <f>'Tables 26a,b-MasterInputs'!D47</f>
        <v>0.05</v>
      </c>
      <c r="E36" s="106">
        <f>'Tables 26a,b-MasterInputs'!F47</f>
        <v>2.75E-2</v>
      </c>
      <c r="F36" s="165">
        <f>'Tables 26a,b-MasterInputs'!E72</f>
        <v>7.6319999999999999E-3</v>
      </c>
      <c r="G36" s="106">
        <f>'Tables 26a,b-MasterInputs'!F72</f>
        <v>0.02</v>
      </c>
      <c r="H36" s="166">
        <f>'Tables 26a,b-MasterInputs'!G72</f>
        <v>20</v>
      </c>
      <c r="I36" s="105">
        <f>'Tables 26a,b-MasterInputs'!I72</f>
        <v>8.4799999999999997E-3</v>
      </c>
      <c r="J36" s="167">
        <f>'Tables 26a,b-MasterInputs'!J72</f>
        <v>0.04</v>
      </c>
    </row>
    <row r="37" spans="2:14" x14ac:dyDescent="0.25">
      <c r="B37" s="163">
        <f t="shared" si="1"/>
        <v>18</v>
      </c>
      <c r="C37" s="164">
        <v>10</v>
      </c>
      <c r="D37" s="106">
        <f>'Tables 26a,b-MasterInputs'!D48</f>
        <v>0.05</v>
      </c>
      <c r="E37" s="106">
        <f>'Tables 26a,b-MasterInputs'!F48</f>
        <v>2.75E-2</v>
      </c>
      <c r="F37" s="165">
        <f>'Tables 26a,b-MasterInputs'!E73</f>
        <v>8.369999999999999E-3</v>
      </c>
      <c r="G37" s="106">
        <f>'Tables 26a,b-MasterInputs'!F73</f>
        <v>0.02</v>
      </c>
      <c r="H37" s="166">
        <f>'Tables 26a,b-MasterInputs'!G73</f>
        <v>20</v>
      </c>
      <c r="I37" s="105">
        <f>'Tables 26a,b-MasterInputs'!I73</f>
        <v>9.2999999999999992E-3</v>
      </c>
      <c r="J37" s="167">
        <f>'Tables 26a,b-MasterInputs'!J73</f>
        <v>0.04</v>
      </c>
    </row>
    <row r="38" spans="2:14" x14ac:dyDescent="0.25">
      <c r="B38" s="163">
        <f t="shared" si="1"/>
        <v>19</v>
      </c>
      <c r="C38" s="164">
        <v>10</v>
      </c>
      <c r="D38" s="106">
        <f>'Tables 26a,b-MasterInputs'!D49</f>
        <v>0.05</v>
      </c>
      <c r="E38" s="106">
        <f>'Tables 26a,b-MasterInputs'!F49</f>
        <v>2.75E-2</v>
      </c>
      <c r="F38" s="165">
        <f>'Tables 26a,b-MasterInputs'!E74</f>
        <v>9.1979999999999996E-3</v>
      </c>
      <c r="G38" s="106">
        <f>'Tables 26a,b-MasterInputs'!F74</f>
        <v>0.02</v>
      </c>
      <c r="H38" s="166">
        <f>'Tables 26a,b-MasterInputs'!G74</f>
        <v>20</v>
      </c>
      <c r="I38" s="105">
        <f>'Tables 26a,b-MasterInputs'!I74</f>
        <v>1.022E-2</v>
      </c>
      <c r="J38" s="167">
        <f>'Tables 26a,b-MasterInputs'!J74</f>
        <v>0.04</v>
      </c>
    </row>
    <row r="39" spans="2:14" ht="15.75" thickBot="1" x14ac:dyDescent="0.3">
      <c r="B39" s="95">
        <f t="shared" si="1"/>
        <v>20</v>
      </c>
      <c r="C39" s="168">
        <v>10</v>
      </c>
      <c r="D39" s="114">
        <f>'Tables 26a,b-MasterInputs'!D50</f>
        <v>0.05</v>
      </c>
      <c r="E39" s="114">
        <f>'Tables 26a,b-MasterInputs'!F50</f>
        <v>2.75E-2</v>
      </c>
      <c r="F39" s="169">
        <f>'Tables 26a,b-MasterInputs'!E75</f>
        <v>1.0125E-2</v>
      </c>
      <c r="G39" s="114">
        <f>'Tables 26a,b-MasterInputs'!F75</f>
        <v>0.02</v>
      </c>
      <c r="H39" s="170">
        <f>'Tables 26a,b-MasterInputs'!G75</f>
        <v>20</v>
      </c>
      <c r="I39" s="113">
        <f>'Tables 26a,b-MasterInputs'!I75</f>
        <v>1.125E-2</v>
      </c>
      <c r="J39" s="171">
        <f>'Tables 26a,b-MasterInputs'!J75</f>
        <v>1</v>
      </c>
    </row>
    <row r="42" spans="2:14" x14ac:dyDescent="0.25">
      <c r="B42" s="39"/>
      <c r="C42" s="3"/>
      <c r="D42" s="3"/>
      <c r="E42" s="3"/>
    </row>
    <row r="43" spans="2:14" x14ac:dyDescent="0.25">
      <c r="M43" s="1"/>
    </row>
    <row r="44" spans="2:14" ht="15.75" thickBot="1" x14ac:dyDescent="0.3"/>
    <row r="45" spans="2:14" x14ac:dyDescent="0.25">
      <c r="B45" s="431" t="s">
        <v>269</v>
      </c>
      <c r="C45" s="432"/>
      <c r="D45" s="432"/>
      <c r="E45" s="432"/>
      <c r="F45" s="432"/>
      <c r="G45" s="432"/>
      <c r="H45" s="433"/>
      <c r="N45" s="82"/>
    </row>
    <row r="46" spans="2:14" ht="15.75" thickBot="1" x14ac:dyDescent="0.3">
      <c r="B46" s="434" t="s">
        <v>110</v>
      </c>
      <c r="C46" s="435"/>
      <c r="D46" s="435"/>
      <c r="E46" s="435"/>
      <c r="F46" s="435"/>
      <c r="G46" s="435"/>
      <c r="H46" s="436"/>
      <c r="L46" s="82"/>
      <c r="M46" s="82"/>
      <c r="N46" s="82"/>
    </row>
    <row r="47" spans="2:14" x14ac:dyDescent="0.25">
      <c r="B47" s="146"/>
      <c r="C47" s="146">
        <f>B47-1</f>
        <v>-1</v>
      </c>
      <c r="D47" s="146">
        <f t="shared" ref="D47:H47" si="2">C47-1</f>
        <v>-2</v>
      </c>
      <c r="E47" s="146">
        <f t="shared" si="2"/>
        <v>-3</v>
      </c>
      <c r="F47" s="146">
        <f t="shared" si="2"/>
        <v>-4</v>
      </c>
      <c r="G47" s="146">
        <f t="shared" si="2"/>
        <v>-5</v>
      </c>
      <c r="H47" s="146">
        <f t="shared" si="2"/>
        <v>-6</v>
      </c>
      <c r="K47" s="82"/>
      <c r="L47" s="82"/>
      <c r="M47" s="82"/>
    </row>
    <row r="48" spans="2:14" ht="45.75" thickBot="1" x14ac:dyDescent="0.3">
      <c r="B48" s="156" t="s">
        <v>88</v>
      </c>
      <c r="C48" s="156" t="s">
        <v>111</v>
      </c>
      <c r="D48" s="156" t="s">
        <v>112</v>
      </c>
      <c r="E48" s="156" t="s">
        <v>113</v>
      </c>
      <c r="F48" s="156" t="s">
        <v>114</v>
      </c>
      <c r="G48" s="156" t="s">
        <v>115</v>
      </c>
      <c r="H48" s="156" t="s">
        <v>116</v>
      </c>
      <c r="I48" s="2"/>
      <c r="K48" s="2"/>
      <c r="L48" s="2"/>
      <c r="M48" s="2"/>
    </row>
    <row r="49" spans="2:14" x14ac:dyDescent="0.25">
      <c r="B49" s="93"/>
      <c r="C49" s="101"/>
      <c r="D49" s="101"/>
      <c r="E49" s="172">
        <f>C10</f>
        <v>1000</v>
      </c>
      <c r="F49" s="101"/>
      <c r="G49" s="101"/>
      <c r="H49" s="173">
        <f t="shared" ref="H49:H69" si="3">E49*$C$11</f>
        <v>100000</v>
      </c>
      <c r="K49" s="85"/>
      <c r="L49" s="85"/>
      <c r="M49" s="84"/>
    </row>
    <row r="50" spans="2:14" x14ac:dyDescent="0.25">
      <c r="B50" s="163">
        <v>1</v>
      </c>
      <c r="C50" s="119">
        <f t="shared" ref="C50:C69" si="4">E49*I20</f>
        <v>0.8</v>
      </c>
      <c r="D50" s="119">
        <f t="shared" ref="D50:D69" si="5">J20*(E49-C50)</f>
        <v>149.88</v>
      </c>
      <c r="E50" s="119">
        <f>E49-C50-D50</f>
        <v>849.32</v>
      </c>
      <c r="F50" s="174">
        <f t="shared" ref="F50:F69" si="6">C50*$C$11</f>
        <v>80</v>
      </c>
      <c r="G50" s="174">
        <f t="shared" ref="G50:G69" si="7">D50*$C$11</f>
        <v>14988</v>
      </c>
      <c r="H50" s="175">
        <f t="shared" si="3"/>
        <v>84932</v>
      </c>
      <c r="I50" s="84"/>
      <c r="J50" s="83"/>
      <c r="K50" s="85"/>
      <c r="L50" s="86"/>
      <c r="M50" s="84"/>
      <c r="N50" s="86"/>
    </row>
    <row r="51" spans="2:14" x14ac:dyDescent="0.25">
      <c r="B51" s="163">
        <f>B50+1</f>
        <v>2</v>
      </c>
      <c r="C51" s="119">
        <f t="shared" si="4"/>
        <v>0.93425200000000008</v>
      </c>
      <c r="D51" s="119">
        <f t="shared" si="5"/>
        <v>101.80628976</v>
      </c>
      <c r="E51" s="119">
        <f t="shared" ref="E51:E69" si="8">E50-C51-D51</f>
        <v>746.57945824000001</v>
      </c>
      <c r="F51" s="174">
        <f t="shared" si="6"/>
        <v>93.425200000000004</v>
      </c>
      <c r="G51" s="174">
        <f t="shared" si="7"/>
        <v>10180.628976</v>
      </c>
      <c r="H51" s="175">
        <f t="shared" si="3"/>
        <v>74657.945823999995</v>
      </c>
      <c r="I51" s="84"/>
      <c r="J51" s="83"/>
      <c r="K51" s="85"/>
      <c r="L51" s="86"/>
      <c r="M51" s="84"/>
      <c r="N51" s="86"/>
    </row>
    <row r="52" spans="2:14" x14ac:dyDescent="0.25">
      <c r="B52" s="163">
        <f t="shared" ref="B52:B69" si="9">B51+1</f>
        <v>3</v>
      </c>
      <c r="C52" s="119">
        <f t="shared" si="4"/>
        <v>1.0676086252832</v>
      </c>
      <c r="D52" s="119">
        <f t="shared" si="5"/>
        <v>74.551184961471677</v>
      </c>
      <c r="E52" s="119">
        <f t="shared" si="8"/>
        <v>670.96066465324509</v>
      </c>
      <c r="F52" s="174">
        <f t="shared" si="6"/>
        <v>106.76086252832</v>
      </c>
      <c r="G52" s="174">
        <f t="shared" si="7"/>
        <v>7455.1184961471681</v>
      </c>
      <c r="H52" s="175">
        <f t="shared" si="3"/>
        <v>67096.066465324504</v>
      </c>
      <c r="I52" s="84"/>
      <c r="J52" s="83"/>
      <c r="K52" s="85"/>
      <c r="L52" s="86"/>
      <c r="M52" s="84"/>
      <c r="N52" s="86"/>
    </row>
    <row r="53" spans="2:14" x14ac:dyDescent="0.25">
      <c r="B53" s="163">
        <f t="shared" si="9"/>
        <v>4</v>
      </c>
      <c r="C53" s="119">
        <f t="shared" si="4"/>
        <v>1.147342736557049</v>
      </c>
      <c r="D53" s="119">
        <f t="shared" si="5"/>
        <v>60.283198972501928</v>
      </c>
      <c r="E53" s="119">
        <f t="shared" si="8"/>
        <v>609.53012294418613</v>
      </c>
      <c r="F53" s="174">
        <f t="shared" si="6"/>
        <v>114.7342736557049</v>
      </c>
      <c r="G53" s="174">
        <f t="shared" si="7"/>
        <v>6028.3198972501932</v>
      </c>
      <c r="H53" s="175">
        <f t="shared" si="3"/>
        <v>60953.012294418615</v>
      </c>
      <c r="I53" s="84"/>
      <c r="J53" s="83"/>
      <c r="K53" s="85"/>
      <c r="L53" s="86"/>
      <c r="M53" s="84"/>
      <c r="N53" s="86"/>
    </row>
    <row r="54" spans="2:14" x14ac:dyDescent="0.25">
      <c r="B54" s="163">
        <f t="shared" si="9"/>
        <v>5</v>
      </c>
      <c r="C54" s="119">
        <f t="shared" si="4"/>
        <v>1.1824884385117211</v>
      </c>
      <c r="D54" s="119">
        <f t="shared" si="5"/>
        <v>48.667810760453953</v>
      </c>
      <c r="E54" s="119">
        <f t="shared" si="8"/>
        <v>559.67982374522046</v>
      </c>
      <c r="F54" s="174">
        <f t="shared" si="6"/>
        <v>118.24884385117211</v>
      </c>
      <c r="G54" s="174">
        <f t="shared" si="7"/>
        <v>4866.7810760453949</v>
      </c>
      <c r="H54" s="175">
        <f t="shared" si="3"/>
        <v>55967.982374522049</v>
      </c>
      <c r="I54" s="84"/>
      <c r="J54" s="83"/>
      <c r="K54" s="85"/>
      <c r="L54" s="86"/>
      <c r="M54" s="84"/>
      <c r="N54" s="86"/>
    </row>
    <row r="55" spans="2:14" x14ac:dyDescent="0.25">
      <c r="B55" s="163">
        <f t="shared" si="9"/>
        <v>6</v>
      </c>
      <c r="C55" s="119">
        <f t="shared" si="4"/>
        <v>1.2424892087143895</v>
      </c>
      <c r="D55" s="119">
        <f t="shared" si="5"/>
        <v>39.090613417555431</v>
      </c>
      <c r="E55" s="119">
        <f t="shared" si="8"/>
        <v>519.34672111895065</v>
      </c>
      <c r="F55" s="174">
        <f t="shared" si="6"/>
        <v>124.24892087143895</v>
      </c>
      <c r="G55" s="174">
        <f t="shared" si="7"/>
        <v>3909.0613417555433</v>
      </c>
      <c r="H55" s="175">
        <f t="shared" si="3"/>
        <v>51934.672111895066</v>
      </c>
      <c r="I55" s="84"/>
      <c r="J55" s="83"/>
      <c r="K55" s="85"/>
      <c r="L55" s="86"/>
      <c r="M55" s="84"/>
      <c r="N55" s="86"/>
    </row>
    <row r="56" spans="2:14" x14ac:dyDescent="0.25">
      <c r="B56" s="163">
        <f t="shared" si="9"/>
        <v>7</v>
      </c>
      <c r="C56" s="119">
        <f t="shared" si="4"/>
        <v>1.3139472044309453</v>
      </c>
      <c r="D56" s="119">
        <f t="shared" si="5"/>
        <v>31.08196643487118</v>
      </c>
      <c r="E56" s="119">
        <f t="shared" si="8"/>
        <v>486.95080747964852</v>
      </c>
      <c r="F56" s="174">
        <f t="shared" si="6"/>
        <v>131.39472044309451</v>
      </c>
      <c r="G56" s="174">
        <f t="shared" si="7"/>
        <v>3108.1966434871179</v>
      </c>
      <c r="H56" s="175">
        <f t="shared" si="3"/>
        <v>48695.08074796485</v>
      </c>
      <c r="I56" s="84"/>
      <c r="J56" s="83"/>
      <c r="K56" s="85"/>
      <c r="L56" s="86"/>
      <c r="M56" s="84"/>
      <c r="N56" s="86"/>
    </row>
    <row r="57" spans="2:14" x14ac:dyDescent="0.25">
      <c r="B57" s="163">
        <f t="shared" si="9"/>
        <v>8</v>
      </c>
      <c r="C57" s="119">
        <f t="shared" si="4"/>
        <v>1.3780707851674052</v>
      </c>
      <c r="D57" s="119">
        <f t="shared" si="5"/>
        <v>24.278636834724058</v>
      </c>
      <c r="E57" s="119">
        <f t="shared" si="8"/>
        <v>461.29409985975707</v>
      </c>
      <c r="F57" s="174">
        <f t="shared" si="6"/>
        <v>137.80707851674052</v>
      </c>
      <c r="G57" s="174">
        <f t="shared" si="7"/>
        <v>2427.8636834724057</v>
      </c>
      <c r="H57" s="175">
        <f t="shared" si="3"/>
        <v>46129.409985975704</v>
      </c>
      <c r="I57" s="84"/>
      <c r="J57" s="83"/>
      <c r="K57" s="85"/>
      <c r="L57" s="86"/>
      <c r="M57" s="84"/>
      <c r="N57" s="86"/>
    </row>
    <row r="58" spans="2:14" x14ac:dyDescent="0.25">
      <c r="B58" s="163">
        <f t="shared" si="9"/>
        <v>9</v>
      </c>
      <c r="C58" s="119">
        <f t="shared" si="4"/>
        <v>1.4346246505638445</v>
      </c>
      <c r="D58" s="119">
        <f t="shared" si="5"/>
        <v>18.394379008367732</v>
      </c>
      <c r="E58" s="119">
        <f t="shared" si="8"/>
        <v>441.46509620082554</v>
      </c>
      <c r="F58" s="174">
        <f t="shared" si="6"/>
        <v>143.46246505638445</v>
      </c>
      <c r="G58" s="174">
        <f t="shared" si="7"/>
        <v>1839.4379008367732</v>
      </c>
      <c r="H58" s="175">
        <f t="shared" si="3"/>
        <v>44146.509620082557</v>
      </c>
      <c r="I58" s="84"/>
      <c r="J58" s="83"/>
      <c r="K58" s="85"/>
      <c r="L58" s="86"/>
      <c r="M58" s="84"/>
      <c r="N58" s="86"/>
    </row>
    <row r="59" spans="2:14" x14ac:dyDescent="0.25">
      <c r="B59" s="163">
        <f t="shared" si="9"/>
        <v>10</v>
      </c>
      <c r="C59" s="119">
        <f t="shared" si="4"/>
        <v>1.523054581892848</v>
      </c>
      <c r="D59" s="119">
        <f t="shared" si="5"/>
        <v>17.59768166475731</v>
      </c>
      <c r="E59" s="119">
        <f t="shared" si="8"/>
        <v>422.34435995417539</v>
      </c>
      <c r="F59" s="174">
        <f t="shared" si="6"/>
        <v>152.30545818928479</v>
      </c>
      <c r="G59" s="174">
        <f t="shared" si="7"/>
        <v>1759.7681664757311</v>
      </c>
      <c r="H59" s="175">
        <f t="shared" si="3"/>
        <v>42234.435995417538</v>
      </c>
      <c r="I59" s="84"/>
      <c r="J59" s="83"/>
      <c r="K59" s="85"/>
      <c r="L59" s="86"/>
      <c r="M59" s="84"/>
      <c r="N59" s="86"/>
    </row>
    <row r="60" spans="2:14" x14ac:dyDescent="0.25">
      <c r="B60" s="163">
        <f t="shared" si="9"/>
        <v>11</v>
      </c>
      <c r="C60" s="119">
        <f t="shared" si="4"/>
        <v>1.6513664474208258</v>
      </c>
      <c r="D60" s="119">
        <f t="shared" si="5"/>
        <v>16.827719740270183</v>
      </c>
      <c r="E60" s="119">
        <f t="shared" si="8"/>
        <v>403.86527376648439</v>
      </c>
      <c r="F60" s="174">
        <f t="shared" si="6"/>
        <v>165.13664474208258</v>
      </c>
      <c r="G60" s="174">
        <f t="shared" si="7"/>
        <v>1682.7719740270184</v>
      </c>
      <c r="H60" s="175">
        <f t="shared" si="3"/>
        <v>40386.527376648439</v>
      </c>
      <c r="I60" s="84"/>
      <c r="J60" s="83"/>
      <c r="K60" s="85"/>
      <c r="L60" s="86"/>
      <c r="M60" s="84"/>
      <c r="N60" s="86"/>
    </row>
    <row r="61" spans="2:14" x14ac:dyDescent="0.25">
      <c r="B61" s="163">
        <f t="shared" si="9"/>
        <v>12</v>
      </c>
      <c r="C61" s="119">
        <f t="shared" si="4"/>
        <v>1.8537416065881636</v>
      </c>
      <c r="D61" s="119">
        <f t="shared" si="5"/>
        <v>16.080461286395849</v>
      </c>
      <c r="E61" s="119">
        <f t="shared" si="8"/>
        <v>385.93107087350035</v>
      </c>
      <c r="F61" s="174">
        <f t="shared" si="6"/>
        <v>185.37416065881635</v>
      </c>
      <c r="G61" s="174">
        <f t="shared" si="7"/>
        <v>1608.0461286395848</v>
      </c>
      <c r="H61" s="175">
        <f t="shared" si="3"/>
        <v>38593.107087350036</v>
      </c>
      <c r="I61" s="84"/>
      <c r="J61" s="83"/>
      <c r="K61" s="85"/>
      <c r="L61" s="86"/>
      <c r="M61" s="84"/>
      <c r="N61" s="86"/>
    </row>
    <row r="62" spans="2:14" x14ac:dyDescent="0.25">
      <c r="B62" s="163">
        <f t="shared" si="9"/>
        <v>13</v>
      </c>
      <c r="C62" s="119">
        <f t="shared" si="4"/>
        <v>2.0763091612994318</v>
      </c>
      <c r="D62" s="119">
        <f t="shared" si="5"/>
        <v>15.354190468488037</v>
      </c>
      <c r="E62" s="119">
        <f t="shared" si="8"/>
        <v>368.5005712437129</v>
      </c>
      <c r="F62" s="174">
        <f t="shared" si="6"/>
        <v>207.63091612994319</v>
      </c>
      <c r="G62" s="174">
        <f t="shared" si="7"/>
        <v>1535.4190468488036</v>
      </c>
      <c r="H62" s="175">
        <f t="shared" si="3"/>
        <v>36850.057124371291</v>
      </c>
      <c r="I62" s="84"/>
      <c r="J62" s="83"/>
      <c r="K62" s="85"/>
      <c r="L62" s="86"/>
      <c r="M62" s="84"/>
      <c r="N62" s="86"/>
    </row>
    <row r="63" spans="2:14" x14ac:dyDescent="0.25">
      <c r="B63" s="163">
        <f t="shared" si="9"/>
        <v>14</v>
      </c>
      <c r="C63" s="119">
        <f t="shared" si="4"/>
        <v>2.2699635188612715</v>
      </c>
      <c r="D63" s="119">
        <f t="shared" si="5"/>
        <v>14.649224308994064</v>
      </c>
      <c r="E63" s="119">
        <f t="shared" si="8"/>
        <v>351.58138341585754</v>
      </c>
      <c r="F63" s="174">
        <f t="shared" si="6"/>
        <v>226.99635188612714</v>
      </c>
      <c r="G63" s="174">
        <f t="shared" si="7"/>
        <v>1464.9224308994064</v>
      </c>
      <c r="H63" s="175">
        <f t="shared" si="3"/>
        <v>35158.138341585756</v>
      </c>
      <c r="I63" s="84"/>
      <c r="J63" s="83"/>
      <c r="K63" s="85"/>
      <c r="L63" s="86"/>
      <c r="M63" s="84"/>
      <c r="N63" s="86"/>
    </row>
    <row r="64" spans="2:14" x14ac:dyDescent="0.25">
      <c r="B64" s="163">
        <f t="shared" si="9"/>
        <v>15</v>
      </c>
      <c r="C64" s="119">
        <f t="shared" si="4"/>
        <v>2.4364589870718931</v>
      </c>
      <c r="D64" s="119">
        <f t="shared" si="5"/>
        <v>13.965796977151427</v>
      </c>
      <c r="E64" s="119">
        <f t="shared" si="8"/>
        <v>335.17912745163426</v>
      </c>
      <c r="F64" s="174">
        <f t="shared" si="6"/>
        <v>243.6458987071893</v>
      </c>
      <c r="G64" s="174">
        <f t="shared" si="7"/>
        <v>1396.5796977151426</v>
      </c>
      <c r="H64" s="175">
        <f t="shared" si="3"/>
        <v>33517.912745163427</v>
      </c>
      <c r="I64" s="84"/>
      <c r="J64" s="83"/>
      <c r="K64" s="85"/>
      <c r="L64" s="86"/>
      <c r="M64" s="84"/>
      <c r="N64" s="86"/>
    </row>
    <row r="65" spans="2:14" x14ac:dyDescent="0.25">
      <c r="B65" s="163">
        <f t="shared" si="9"/>
        <v>16</v>
      </c>
      <c r="C65" s="119">
        <f t="shared" si="4"/>
        <v>2.6043418202991981</v>
      </c>
      <c r="D65" s="119">
        <f t="shared" si="5"/>
        <v>13.302991425253401</v>
      </c>
      <c r="E65" s="119">
        <f t="shared" si="8"/>
        <v>319.27179420608161</v>
      </c>
      <c r="F65" s="174">
        <f t="shared" si="6"/>
        <v>260.43418202991984</v>
      </c>
      <c r="G65" s="174">
        <f t="shared" si="7"/>
        <v>1330.2991425253401</v>
      </c>
      <c r="H65" s="175">
        <f t="shared" si="3"/>
        <v>31927.179420608161</v>
      </c>
      <c r="I65" s="84"/>
      <c r="J65" s="83"/>
      <c r="K65" s="85"/>
      <c r="L65" s="86"/>
      <c r="M65" s="84"/>
      <c r="N65" s="86"/>
    </row>
    <row r="66" spans="2:14" x14ac:dyDescent="0.25">
      <c r="B66" s="163">
        <f t="shared" si="9"/>
        <v>17</v>
      </c>
      <c r="C66" s="119">
        <f t="shared" si="4"/>
        <v>2.7074248148675721</v>
      </c>
      <c r="D66" s="119">
        <f t="shared" si="5"/>
        <v>12.662574775648562</v>
      </c>
      <c r="E66" s="119">
        <f t="shared" si="8"/>
        <v>303.90179461556545</v>
      </c>
      <c r="F66" s="174">
        <f t="shared" si="6"/>
        <v>270.74248148675724</v>
      </c>
      <c r="G66" s="174">
        <f t="shared" si="7"/>
        <v>1266.2574775648561</v>
      </c>
      <c r="H66" s="175">
        <f t="shared" si="3"/>
        <v>30390.179461556545</v>
      </c>
      <c r="I66" s="84"/>
      <c r="J66" s="83"/>
      <c r="K66" s="85"/>
      <c r="L66" s="86"/>
      <c r="M66" s="84"/>
      <c r="N66" s="86"/>
    </row>
    <row r="67" spans="2:14" x14ac:dyDescent="0.25">
      <c r="B67" s="163">
        <f t="shared" si="9"/>
        <v>18</v>
      </c>
      <c r="C67" s="119">
        <f t="shared" si="4"/>
        <v>2.8262866899247583</v>
      </c>
      <c r="D67" s="119">
        <f t="shared" si="5"/>
        <v>12.043020317025627</v>
      </c>
      <c r="E67" s="119">
        <f t="shared" si="8"/>
        <v>289.03248760861504</v>
      </c>
      <c r="F67" s="174">
        <f t="shared" si="6"/>
        <v>282.62866899247581</v>
      </c>
      <c r="G67" s="174">
        <f t="shared" si="7"/>
        <v>1204.3020317025628</v>
      </c>
      <c r="H67" s="175">
        <f t="shared" si="3"/>
        <v>28903.248760861505</v>
      </c>
      <c r="I67" s="84"/>
      <c r="J67" s="83"/>
      <c r="K67" s="85"/>
      <c r="L67" s="86"/>
      <c r="M67" s="84"/>
      <c r="N67" s="86"/>
    </row>
    <row r="68" spans="2:14" x14ac:dyDescent="0.25">
      <c r="B68" s="163">
        <f t="shared" si="9"/>
        <v>19</v>
      </c>
      <c r="C68" s="119">
        <f t="shared" si="4"/>
        <v>2.9539120233600458</v>
      </c>
      <c r="D68" s="119">
        <f t="shared" si="5"/>
        <v>11.443143023410201</v>
      </c>
      <c r="E68" s="119">
        <f t="shared" si="8"/>
        <v>274.63543256184482</v>
      </c>
      <c r="F68" s="174">
        <f t="shared" si="6"/>
        <v>295.3912023360046</v>
      </c>
      <c r="G68" s="174">
        <f t="shared" si="7"/>
        <v>1144.31430234102</v>
      </c>
      <c r="H68" s="175">
        <f t="shared" si="3"/>
        <v>27463.543256184483</v>
      </c>
      <c r="I68" s="84"/>
      <c r="J68" s="83"/>
      <c r="K68" s="85"/>
      <c r="L68" s="86"/>
      <c r="M68" s="84"/>
      <c r="N68" s="86"/>
    </row>
    <row r="69" spans="2:14" ht="15.75" thickBot="1" x14ac:dyDescent="0.3">
      <c r="B69" s="95">
        <f t="shared" si="9"/>
        <v>20</v>
      </c>
      <c r="C69" s="123">
        <f t="shared" si="4"/>
        <v>3.0896486163207539</v>
      </c>
      <c r="D69" s="123">
        <f t="shared" si="5"/>
        <v>271.54578394552408</v>
      </c>
      <c r="E69" s="123">
        <f t="shared" si="8"/>
        <v>0</v>
      </c>
      <c r="F69" s="176">
        <f t="shared" si="6"/>
        <v>308.96486163207538</v>
      </c>
      <c r="G69" s="176">
        <f t="shared" si="7"/>
        <v>27154.578394552409</v>
      </c>
      <c r="H69" s="177">
        <f t="shared" si="3"/>
        <v>0</v>
      </c>
      <c r="I69" s="84"/>
      <c r="K69" s="85"/>
      <c r="L69" s="86"/>
      <c r="M69" s="84"/>
      <c r="N69" s="86"/>
    </row>
    <row r="70" spans="2:14" ht="15.75" thickBot="1" x14ac:dyDescent="0.3">
      <c r="M70" s="86"/>
    </row>
    <row r="71" spans="2:14" x14ac:dyDescent="0.25">
      <c r="B71" s="431" t="s">
        <v>270</v>
      </c>
      <c r="C71" s="432"/>
      <c r="D71" s="432"/>
      <c r="E71" s="432"/>
      <c r="F71" s="432"/>
      <c r="G71" s="432"/>
      <c r="H71" s="432"/>
      <c r="I71" s="432"/>
      <c r="J71" s="432"/>
      <c r="K71" s="432"/>
      <c r="L71" s="433"/>
    </row>
    <row r="72" spans="2:14" ht="15.75" thickBot="1" x14ac:dyDescent="0.3">
      <c r="B72" s="434" t="s">
        <v>117</v>
      </c>
      <c r="C72" s="435"/>
      <c r="D72" s="435"/>
      <c r="E72" s="435"/>
      <c r="F72" s="435"/>
      <c r="G72" s="435"/>
      <c r="H72" s="435"/>
      <c r="I72" s="435"/>
      <c r="J72" s="435"/>
      <c r="K72" s="435"/>
      <c r="L72" s="436"/>
    </row>
    <row r="73" spans="2:14" x14ac:dyDescent="0.25">
      <c r="B73" s="146"/>
      <c r="C73" s="146">
        <f>B73-1</f>
        <v>-1</v>
      </c>
      <c r="D73" s="146">
        <f t="shared" ref="D73:L73" si="10">C73-1</f>
        <v>-2</v>
      </c>
      <c r="E73" s="146">
        <f t="shared" si="10"/>
        <v>-3</v>
      </c>
      <c r="F73" s="146">
        <f t="shared" si="10"/>
        <v>-4</v>
      </c>
      <c r="G73" s="146">
        <f t="shared" si="10"/>
        <v>-5</v>
      </c>
      <c r="H73" s="146">
        <f t="shared" si="10"/>
        <v>-6</v>
      </c>
      <c r="I73" s="146">
        <f t="shared" si="10"/>
        <v>-7</v>
      </c>
      <c r="J73" s="146">
        <f t="shared" si="10"/>
        <v>-8</v>
      </c>
      <c r="K73" s="146">
        <f t="shared" si="10"/>
        <v>-9</v>
      </c>
      <c r="L73" s="146">
        <f t="shared" si="10"/>
        <v>-10</v>
      </c>
    </row>
    <row r="74" spans="2:14" ht="60.75" thickBot="1" x14ac:dyDescent="0.3">
      <c r="B74" s="156" t="s">
        <v>76</v>
      </c>
      <c r="C74" s="156" t="s">
        <v>17</v>
      </c>
      <c r="D74" s="156" t="s">
        <v>271</v>
      </c>
      <c r="E74" s="156" t="s">
        <v>77</v>
      </c>
      <c r="F74" s="156" t="s">
        <v>78</v>
      </c>
      <c r="G74" s="156" t="s">
        <v>71</v>
      </c>
      <c r="H74" s="156" t="s">
        <v>27</v>
      </c>
      <c r="I74" s="156" t="s">
        <v>72</v>
      </c>
      <c r="J74" s="156" t="s">
        <v>272</v>
      </c>
      <c r="K74" s="156" t="s">
        <v>118</v>
      </c>
      <c r="L74" s="156" t="s">
        <v>273</v>
      </c>
    </row>
    <row r="75" spans="2:14" x14ac:dyDescent="0.25">
      <c r="B75" s="93"/>
      <c r="C75" s="101"/>
      <c r="D75" s="101"/>
      <c r="E75" s="101"/>
      <c r="F75" s="101"/>
      <c r="G75" s="101"/>
      <c r="H75" s="101"/>
      <c r="I75" s="101"/>
      <c r="J75" s="101"/>
      <c r="K75" s="101"/>
      <c r="L75" s="102"/>
    </row>
    <row r="76" spans="2:14" x14ac:dyDescent="0.25">
      <c r="B76" s="163">
        <v>1</v>
      </c>
      <c r="C76" s="90">
        <f>C20</f>
        <v>10</v>
      </c>
      <c r="D76" s="104">
        <f>'Tables 26a,b-MasterInputs'!F56</f>
        <v>0.02</v>
      </c>
      <c r="E76" s="107">
        <f>'Tables 26a,b-MasterInputs'!G56</f>
        <v>20</v>
      </c>
      <c r="F76" s="178">
        <f>'Tables 26a,b-MasterInputs'!E56</f>
        <v>1.6000000000000001E-3</v>
      </c>
      <c r="G76" s="106">
        <f>'Tables 26a,b-MasterInputs'!F31</f>
        <v>2.75E-2</v>
      </c>
      <c r="H76" s="107">
        <f>E76/'Tables 26a,b-MasterInputs'!$D$14+D76*C76</f>
        <v>0.4</v>
      </c>
      <c r="I76" s="107">
        <f>(1000/(1+'Tables 26a,b-MasterInputs'!E31)-(L75+C76-H76))*F76</f>
        <v>1.5456156097560978</v>
      </c>
      <c r="J76" s="90">
        <f t="shared" ref="J76:J95" si="11">(L75+C76-H76-I76)*G76</f>
        <v>0.22149557073170731</v>
      </c>
      <c r="K76" s="90">
        <f>(L75+C76-H76-I76)*D20</f>
        <v>0.40271921951219514</v>
      </c>
      <c r="L76" s="108">
        <f t="shared" ref="L76:L95" si="12">L75+C76-H76-I76+J76</f>
        <v>8.27587996097561</v>
      </c>
    </row>
    <row r="77" spans="2:14" x14ac:dyDescent="0.25">
      <c r="B77" s="163">
        <f t="shared" ref="B77:B95" si="13">B76+1</f>
        <v>2</v>
      </c>
      <c r="C77" s="90">
        <f t="shared" ref="C77:C95" si="14">C21</f>
        <v>10</v>
      </c>
      <c r="D77" s="104">
        <f>'Tables 26a,b-MasterInputs'!F57</f>
        <v>0.02</v>
      </c>
      <c r="E77" s="107">
        <f>'Tables 26a,b-MasterInputs'!G57</f>
        <v>20</v>
      </c>
      <c r="F77" s="178">
        <f>'Tables 26a,b-MasterInputs'!E57</f>
        <v>2.2000000000000001E-3</v>
      </c>
      <c r="G77" s="106">
        <f>'Tables 26a,b-MasterInputs'!F32</f>
        <v>2.75E-2</v>
      </c>
      <c r="H77" s="107">
        <f>E77/'Tables 26a,b-MasterInputs'!$D$14+D77*C77</f>
        <v>0.4</v>
      </c>
      <c r="I77" s="107">
        <f>(1000/(1+'Tables 26a,b-MasterInputs'!E32)-(L76+C77-H77))*F77</f>
        <v>2.1070145275004881</v>
      </c>
      <c r="J77" s="90">
        <f t="shared" si="11"/>
        <v>0.4336437994205658</v>
      </c>
      <c r="K77" s="90">
        <f t="shared" ref="K77:K95" si="15">(L76+C77-H77-I77)*D21</f>
        <v>0.78844327167375605</v>
      </c>
      <c r="L77" s="108">
        <f t="shared" si="12"/>
        <v>16.202509232895686</v>
      </c>
    </row>
    <row r="78" spans="2:14" x14ac:dyDescent="0.25">
      <c r="B78" s="163">
        <f t="shared" si="13"/>
        <v>3</v>
      </c>
      <c r="C78" s="90">
        <f t="shared" si="14"/>
        <v>10</v>
      </c>
      <c r="D78" s="104">
        <f>'Tables 26a,b-MasterInputs'!F58</f>
        <v>0.02</v>
      </c>
      <c r="E78" s="107">
        <f>'Tables 26a,b-MasterInputs'!G58</f>
        <v>20</v>
      </c>
      <c r="F78" s="178">
        <f>'Tables 26a,b-MasterInputs'!E58</f>
        <v>2.8600000000000001E-3</v>
      </c>
      <c r="G78" s="106">
        <f>'Tables 26a,b-MasterInputs'!F33</f>
        <v>2.75E-2</v>
      </c>
      <c r="H78" s="107">
        <f>E78/'Tables 26a,b-MasterInputs'!$D$14+D78*C78</f>
        <v>0.4</v>
      </c>
      <c r="I78" s="107">
        <f>(1000/(1+'Tables 26a,b-MasterInputs'!E33)-(L77+C78-H78))*F78</f>
        <v>2.7164487260329433</v>
      </c>
      <c r="J78" s="90">
        <f t="shared" si="11"/>
        <v>0.63486666393872548</v>
      </c>
      <c r="K78" s="90">
        <f t="shared" si="15"/>
        <v>1.1543030253431372</v>
      </c>
      <c r="L78" s="108">
        <f t="shared" si="12"/>
        <v>23.72092717080147</v>
      </c>
    </row>
    <row r="79" spans="2:14" x14ac:dyDescent="0.25">
      <c r="B79" s="163">
        <f t="shared" si="13"/>
        <v>4</v>
      </c>
      <c r="C79" s="90">
        <f t="shared" si="14"/>
        <v>10</v>
      </c>
      <c r="D79" s="104">
        <f>'Tables 26a,b-MasterInputs'!F59</f>
        <v>0.02</v>
      </c>
      <c r="E79" s="107">
        <f>'Tables 26a,b-MasterInputs'!G59</f>
        <v>20</v>
      </c>
      <c r="F79" s="178">
        <f>'Tables 26a,b-MasterInputs'!E59</f>
        <v>3.4199999999999999E-3</v>
      </c>
      <c r="G79" s="106">
        <f>'Tables 26a,b-MasterInputs'!F34</f>
        <v>2.75E-2</v>
      </c>
      <c r="H79" s="107">
        <f>E79/'Tables 26a,b-MasterInputs'!$D$14+D79*C79</f>
        <v>0.4</v>
      </c>
      <c r="I79" s="107">
        <f>(1000/(1+'Tables 26a,b-MasterInputs'!E34)-(L78+C79-H79))*F79</f>
        <v>3.2226277949295179</v>
      </c>
      <c r="J79" s="90">
        <f t="shared" si="11"/>
        <v>0.82770323283647884</v>
      </c>
      <c r="K79" s="90">
        <f t="shared" si="15"/>
        <v>1.5049149687935979</v>
      </c>
      <c r="L79" s="108">
        <f t="shared" si="12"/>
        <v>30.926002608708437</v>
      </c>
    </row>
    <row r="80" spans="2:14" x14ac:dyDescent="0.25">
      <c r="B80" s="163">
        <f t="shared" si="13"/>
        <v>5</v>
      </c>
      <c r="C80" s="90">
        <f t="shared" si="14"/>
        <v>10</v>
      </c>
      <c r="D80" s="104">
        <f>'Tables 26a,b-MasterInputs'!F60</f>
        <v>0.02</v>
      </c>
      <c r="E80" s="107">
        <f>'Tables 26a,b-MasterInputs'!G60</f>
        <v>20</v>
      </c>
      <c r="F80" s="178">
        <f>'Tables 26a,b-MasterInputs'!E60</f>
        <v>3.8800000000000002E-3</v>
      </c>
      <c r="G80" s="106">
        <f>'Tables 26a,b-MasterInputs'!F35</f>
        <v>2.75E-2</v>
      </c>
      <c r="H80" s="107">
        <f>E80/'Tables 26a,b-MasterInputs'!$D$14+D80*C80</f>
        <v>0.4</v>
      </c>
      <c r="I80" s="107">
        <f>(1000/(1+'Tables 26a,b-MasterInputs'!E35)-(L79+C80-H80))*F80</f>
        <v>3.6281249635367483</v>
      </c>
      <c r="J80" s="90">
        <f t="shared" si="11"/>
        <v>1.0146916352422215</v>
      </c>
      <c r="K80" s="90">
        <f t="shared" si="15"/>
        <v>1.8448938822585845</v>
      </c>
      <c r="L80" s="108">
        <f t="shared" si="12"/>
        <v>37.912569280413912</v>
      </c>
    </row>
    <row r="81" spans="2:12" x14ac:dyDescent="0.25">
      <c r="B81" s="163">
        <f t="shared" si="13"/>
        <v>6</v>
      </c>
      <c r="C81" s="90">
        <f t="shared" si="14"/>
        <v>10</v>
      </c>
      <c r="D81" s="104">
        <f>'Tables 26a,b-MasterInputs'!F61</f>
        <v>0.02</v>
      </c>
      <c r="E81" s="107">
        <f>'Tables 26a,b-MasterInputs'!G61</f>
        <v>20</v>
      </c>
      <c r="F81" s="178">
        <f>'Tables 26a,b-MasterInputs'!E61</f>
        <v>3.9960000000000004E-3</v>
      </c>
      <c r="G81" s="106">
        <f>'Tables 26a,b-MasterInputs'!F36</f>
        <v>2.75E-2</v>
      </c>
      <c r="H81" s="107">
        <f>E81/'Tables 26a,b-MasterInputs'!$D$14+D81*C81</f>
        <v>0.4</v>
      </c>
      <c r="I81" s="107">
        <f>(1000/(1+'Tables 26a,b-MasterInputs'!E36)-(L80+C81-H81))*F81</f>
        <v>3.7086763585213207</v>
      </c>
      <c r="J81" s="90">
        <f t="shared" si="11"/>
        <v>1.2046070553520463</v>
      </c>
      <c r="K81" s="90">
        <f t="shared" si="15"/>
        <v>2.1901946460946298</v>
      </c>
      <c r="L81" s="108">
        <f t="shared" si="12"/>
        <v>45.008499977244639</v>
      </c>
    </row>
    <row r="82" spans="2:12" x14ac:dyDescent="0.25">
      <c r="B82" s="163">
        <f t="shared" si="13"/>
        <v>7</v>
      </c>
      <c r="C82" s="90">
        <f t="shared" si="14"/>
        <v>10</v>
      </c>
      <c r="D82" s="104">
        <f>'Tables 26a,b-MasterInputs'!F62</f>
        <v>0.02</v>
      </c>
      <c r="E82" s="107">
        <f>'Tables 26a,b-MasterInputs'!G62</f>
        <v>20</v>
      </c>
      <c r="F82" s="178">
        <f>'Tables 26a,b-MasterInputs'!E62</f>
        <v>4.0480000000000004E-3</v>
      </c>
      <c r="G82" s="106">
        <f>'Tables 26a,b-MasterInputs'!F37</f>
        <v>2.75E-2</v>
      </c>
      <c r="H82" s="107">
        <f>E82/'Tables 26a,b-MasterInputs'!$D$14+D82*C82</f>
        <v>0.4</v>
      </c>
      <c r="I82" s="107">
        <f>(1000/(1+'Tables 26a,b-MasterInputs'!E37)-(L81+C82-H82))*F82</f>
        <v>3.7282130847750414</v>
      </c>
      <c r="J82" s="90">
        <f t="shared" si="11"/>
        <v>1.3992078895429139</v>
      </c>
      <c r="K82" s="90">
        <f t="shared" si="15"/>
        <v>2.5440143446234802</v>
      </c>
      <c r="L82" s="108">
        <f t="shared" si="12"/>
        <v>52.279494782012513</v>
      </c>
    </row>
    <row r="83" spans="2:12" x14ac:dyDescent="0.25">
      <c r="B83" s="163">
        <f t="shared" si="13"/>
        <v>8</v>
      </c>
      <c r="C83" s="90">
        <f t="shared" si="14"/>
        <v>10</v>
      </c>
      <c r="D83" s="104">
        <f>'Tables 26a,b-MasterInputs'!F63</f>
        <v>0.02</v>
      </c>
      <c r="E83" s="107">
        <f>'Tables 26a,b-MasterInputs'!G63</f>
        <v>20</v>
      </c>
      <c r="F83" s="178">
        <f>'Tables 26a,b-MasterInputs'!E63</f>
        <v>3.9620000000000002E-3</v>
      </c>
      <c r="G83" s="106">
        <f>'Tables 26a,b-MasterInputs'!F38</f>
        <v>2.75E-2</v>
      </c>
      <c r="H83" s="107">
        <f>E83/'Tables 26a,b-MasterInputs'!$D$14+D83*C83</f>
        <v>0.4</v>
      </c>
      <c r="I83" s="107">
        <f>(1000/(1+'Tables 26a,b-MasterInputs'!E38)-(L82+C83-H83))*F83</f>
        <v>3.6201992953322035</v>
      </c>
      <c r="J83" s="90">
        <f t="shared" si="11"/>
        <v>1.6021306258837085</v>
      </c>
      <c r="K83" s="90">
        <f t="shared" si="15"/>
        <v>2.9129647743340157</v>
      </c>
      <c r="L83" s="108">
        <f t="shared" si="12"/>
        <v>59.861426112564018</v>
      </c>
    </row>
    <row r="84" spans="2:12" x14ac:dyDescent="0.25">
      <c r="B84" s="163">
        <f t="shared" si="13"/>
        <v>9</v>
      </c>
      <c r="C84" s="90">
        <f t="shared" si="14"/>
        <v>10</v>
      </c>
      <c r="D84" s="104">
        <f>'Tables 26a,b-MasterInputs'!F64</f>
        <v>0.02</v>
      </c>
      <c r="E84" s="107">
        <f>'Tables 26a,b-MasterInputs'!G64</f>
        <v>20</v>
      </c>
      <c r="F84" s="178">
        <f>'Tables 26a,b-MasterInputs'!E64</f>
        <v>3.7319999999999996E-3</v>
      </c>
      <c r="G84" s="106">
        <f>'Tables 26a,b-MasterInputs'!F39</f>
        <v>2.75E-2</v>
      </c>
      <c r="H84" s="107">
        <f>E84/'Tables 26a,b-MasterInputs'!$D$14+D84*C84</f>
        <v>0.4</v>
      </c>
      <c r="I84" s="107">
        <f>(1000/(1+'Tables 26a,b-MasterInputs'!E39)-(L83+C84-H84))*F84</f>
        <v>3.3817455675040087</v>
      </c>
      <c r="J84" s="90">
        <f t="shared" si="11"/>
        <v>1.81719121498915</v>
      </c>
      <c r="K84" s="90">
        <f t="shared" si="15"/>
        <v>3.3039840272530001</v>
      </c>
      <c r="L84" s="108">
        <f t="shared" si="12"/>
        <v>67.896871760049152</v>
      </c>
    </row>
    <row r="85" spans="2:12" x14ac:dyDescent="0.25">
      <c r="B85" s="163">
        <f t="shared" si="13"/>
        <v>10</v>
      </c>
      <c r="C85" s="90">
        <f t="shared" si="14"/>
        <v>10</v>
      </c>
      <c r="D85" s="104">
        <f>'Tables 26a,b-MasterInputs'!F65</f>
        <v>0.02</v>
      </c>
      <c r="E85" s="107">
        <f>'Tables 26a,b-MasterInputs'!G65</f>
        <v>20</v>
      </c>
      <c r="F85" s="178">
        <f>'Tables 26a,b-MasterInputs'!E65</f>
        <v>3.4499999999999999E-3</v>
      </c>
      <c r="G85" s="106">
        <f>'Tables 26a,b-MasterInputs'!F40</f>
        <v>2.75E-2</v>
      </c>
      <c r="H85" s="107">
        <f>E85/'Tables 26a,b-MasterInputs'!$D$14+D85*C85</f>
        <v>0.4</v>
      </c>
      <c r="I85" s="107">
        <f>(1000/(1+'Tables 26a,b-MasterInputs'!E40)-(L84+C85-H85))*F85</f>
        <v>3.0984894509644163</v>
      </c>
      <c r="J85" s="90">
        <f t="shared" si="11"/>
        <v>2.04595551349983</v>
      </c>
      <c r="K85" s="90">
        <f t="shared" si="15"/>
        <v>3.7199191154542364</v>
      </c>
      <c r="L85" s="108">
        <f t="shared" si="12"/>
        <v>76.444337822584558</v>
      </c>
    </row>
    <row r="86" spans="2:12" x14ac:dyDescent="0.25">
      <c r="B86" s="163">
        <f t="shared" si="13"/>
        <v>11</v>
      </c>
      <c r="C86" s="90">
        <f t="shared" si="14"/>
        <v>10</v>
      </c>
      <c r="D86" s="104">
        <f>'Tables 26a,b-MasterInputs'!F66</f>
        <v>0.02</v>
      </c>
      <c r="E86" s="107">
        <f>'Tables 26a,b-MasterInputs'!G66</f>
        <v>20</v>
      </c>
      <c r="F86" s="178">
        <f>'Tables 26a,b-MasterInputs'!E66</f>
        <v>3.5190000000000004E-3</v>
      </c>
      <c r="G86" s="106">
        <f>'Tables 26a,b-MasterInputs'!F41</f>
        <v>2.75E-2</v>
      </c>
      <c r="H86" s="107">
        <f>E86/'Tables 26a,b-MasterInputs'!$D$14+D86*C86</f>
        <v>0.4</v>
      </c>
      <c r="I86" s="107">
        <f>(1000/(1+'Tables 26a,b-MasterInputs'!E41)-(L85+C86-H86))*F86</f>
        <v>3.130380706909643</v>
      </c>
      <c r="J86" s="90">
        <f t="shared" si="11"/>
        <v>2.2801338206810597</v>
      </c>
      <c r="K86" s="90">
        <f t="shared" si="15"/>
        <v>4.1456978557837454</v>
      </c>
      <c r="L86" s="108">
        <f t="shared" si="12"/>
        <v>85.194090936355963</v>
      </c>
    </row>
    <row r="87" spans="2:12" x14ac:dyDescent="0.25">
      <c r="B87" s="163">
        <f t="shared" si="13"/>
        <v>12</v>
      </c>
      <c r="C87" s="90">
        <f t="shared" si="14"/>
        <v>10</v>
      </c>
      <c r="D87" s="104">
        <f>'Tables 26a,b-MasterInputs'!F67</f>
        <v>0.02</v>
      </c>
      <c r="E87" s="107">
        <f>'Tables 26a,b-MasterInputs'!G67</f>
        <v>20</v>
      </c>
      <c r="F87" s="178">
        <f>'Tables 26a,b-MasterInputs'!E67</f>
        <v>4.1310000000000001E-3</v>
      </c>
      <c r="G87" s="106">
        <f>'Tables 26a,b-MasterInputs'!F42</f>
        <v>2.75E-2</v>
      </c>
      <c r="H87" s="107">
        <f>E87/'Tables 26a,b-MasterInputs'!$D$14+D87*C87</f>
        <v>0.4</v>
      </c>
      <c r="I87" s="107">
        <f>(1000/(1+'Tables 26a,b-MasterInputs'!E42)-(L86+C87-H87))*F87</f>
        <v>3.6386495127809386</v>
      </c>
      <c r="J87" s="90">
        <f t="shared" si="11"/>
        <v>2.506774639148313</v>
      </c>
      <c r="K87" s="90">
        <f t="shared" si="15"/>
        <v>4.5577720711787508</v>
      </c>
      <c r="L87" s="108">
        <f t="shared" si="12"/>
        <v>93.662216062723331</v>
      </c>
    </row>
    <row r="88" spans="2:12" x14ac:dyDescent="0.25">
      <c r="B88" s="163">
        <f t="shared" si="13"/>
        <v>13</v>
      </c>
      <c r="C88" s="90">
        <f t="shared" si="14"/>
        <v>10</v>
      </c>
      <c r="D88" s="104">
        <f>'Tables 26a,b-MasterInputs'!F68</f>
        <v>0.02</v>
      </c>
      <c r="E88" s="107">
        <f>'Tables 26a,b-MasterInputs'!G68</f>
        <v>20</v>
      </c>
      <c r="F88" s="178">
        <f>'Tables 26a,b-MasterInputs'!E68</f>
        <v>4.8419999999999999E-3</v>
      </c>
      <c r="G88" s="106">
        <f>'Tables 26a,b-MasterInputs'!F43</f>
        <v>2.75E-2</v>
      </c>
      <c r="H88" s="107">
        <f>E88/'Tables 26a,b-MasterInputs'!$D$14+D88*C88</f>
        <v>0.4</v>
      </c>
      <c r="I88" s="107">
        <f>(1000/(1+'Tables 26a,b-MasterInputs'!E43)-(L87+C88-H88))*F88</f>
        <v>4.2239067888486845</v>
      </c>
      <c r="J88" s="90">
        <f t="shared" si="11"/>
        <v>2.7235535050315529</v>
      </c>
      <c r="K88" s="90">
        <f t="shared" si="15"/>
        <v>4.9519154636937328</v>
      </c>
      <c r="L88" s="108">
        <f t="shared" si="12"/>
        <v>101.76186277890619</v>
      </c>
    </row>
    <row r="89" spans="2:12" x14ac:dyDescent="0.25">
      <c r="B89" s="163">
        <f t="shared" si="13"/>
        <v>14</v>
      </c>
      <c r="C89" s="90">
        <f t="shared" si="14"/>
        <v>10</v>
      </c>
      <c r="D89" s="104">
        <f>'Tables 26a,b-MasterInputs'!F69</f>
        <v>0.02</v>
      </c>
      <c r="E89" s="107">
        <f>'Tables 26a,b-MasterInputs'!G69</f>
        <v>20</v>
      </c>
      <c r="F89" s="178">
        <f>'Tables 26a,b-MasterInputs'!E69</f>
        <v>5.5439999999999994E-3</v>
      </c>
      <c r="G89" s="106">
        <f>'Tables 26a,b-MasterInputs'!F44</f>
        <v>2.75E-2</v>
      </c>
      <c r="H89" s="107">
        <f>E89/'Tables 26a,b-MasterInputs'!$D$14+D89*C89</f>
        <v>0.4</v>
      </c>
      <c r="I89" s="107">
        <f>(1000/(1+'Tables 26a,b-MasterInputs'!E44)-(L88+C89-H89))*F89</f>
        <v>4.7913903205586221</v>
      </c>
      <c r="J89" s="90">
        <f t="shared" si="11"/>
        <v>2.9306879926045579</v>
      </c>
      <c r="K89" s="90">
        <f t="shared" si="15"/>
        <v>5.3285236229173787</v>
      </c>
      <c r="L89" s="108">
        <f t="shared" si="12"/>
        <v>109.50116045095213</v>
      </c>
    </row>
    <row r="90" spans="2:12" x14ac:dyDescent="0.25">
      <c r="B90" s="163">
        <f t="shared" si="13"/>
        <v>15</v>
      </c>
      <c r="C90" s="90">
        <f t="shared" si="14"/>
        <v>10</v>
      </c>
      <c r="D90" s="104">
        <f>'Tables 26a,b-MasterInputs'!F70</f>
        <v>0.02</v>
      </c>
      <c r="E90" s="107">
        <f>'Tables 26a,b-MasterInputs'!G70</f>
        <v>20</v>
      </c>
      <c r="F90" s="178">
        <f>'Tables 26a,b-MasterInputs'!E70</f>
        <v>6.2370000000000004E-3</v>
      </c>
      <c r="G90" s="106">
        <f>'Tables 26a,b-MasterInputs'!F45</f>
        <v>2.75E-2</v>
      </c>
      <c r="H90" s="107">
        <f>E90/'Tables 26a,b-MasterInputs'!$D$14+D90*C90</f>
        <v>0.4</v>
      </c>
      <c r="I90" s="107">
        <f>(1000/(1+'Tables 26a,b-MasterInputs'!E45)-(L89+C90-H90))*F90</f>
        <v>5.3420441110479011</v>
      </c>
      <c r="J90" s="90">
        <f t="shared" si="11"/>
        <v>3.1283756993473664</v>
      </c>
      <c r="K90" s="90">
        <f t="shared" si="15"/>
        <v>5.6879558169952116</v>
      </c>
      <c r="L90" s="108">
        <f t="shared" si="12"/>
        <v>116.8874920392516</v>
      </c>
    </row>
    <row r="91" spans="2:12" x14ac:dyDescent="0.25">
      <c r="B91" s="163">
        <f t="shared" si="13"/>
        <v>16</v>
      </c>
      <c r="C91" s="90">
        <f t="shared" si="14"/>
        <v>10</v>
      </c>
      <c r="D91" s="104">
        <f>'Tables 26a,b-MasterInputs'!F71</f>
        <v>0.02</v>
      </c>
      <c r="E91" s="107">
        <f>'Tables 26a,b-MasterInputs'!G71</f>
        <v>20</v>
      </c>
      <c r="F91" s="178">
        <f>'Tables 26a,b-MasterInputs'!E71</f>
        <v>6.9930000000000001E-3</v>
      </c>
      <c r="G91" s="106">
        <f>'Tables 26a,b-MasterInputs'!F46</f>
        <v>2.75E-2</v>
      </c>
      <c r="H91" s="107">
        <f>E91/'Tables 26a,b-MasterInputs'!$D$14+D91*C91</f>
        <v>0.4</v>
      </c>
      <c r="I91" s="107">
        <f>(1000/(1+'Tables 26a,b-MasterInputs'!E46)-(L90+C91-H91))*F91</f>
        <v>5.9379119925597585</v>
      </c>
      <c r="J91" s="90">
        <f t="shared" si="11"/>
        <v>3.3151134512840255</v>
      </c>
      <c r="K91" s="90">
        <f t="shared" si="15"/>
        <v>6.0274790023345917</v>
      </c>
      <c r="L91" s="108">
        <f t="shared" si="12"/>
        <v>123.86469349797585</v>
      </c>
    </row>
    <row r="92" spans="2:12" x14ac:dyDescent="0.25">
      <c r="B92" s="163">
        <f t="shared" si="13"/>
        <v>17</v>
      </c>
      <c r="C92" s="90">
        <f t="shared" si="14"/>
        <v>10</v>
      </c>
      <c r="D92" s="104">
        <f>'Tables 26a,b-MasterInputs'!F72</f>
        <v>0.02</v>
      </c>
      <c r="E92" s="107">
        <f>'Tables 26a,b-MasterInputs'!G72</f>
        <v>20</v>
      </c>
      <c r="F92" s="178">
        <f>'Tables 26a,b-MasterInputs'!E72</f>
        <v>7.6319999999999999E-3</v>
      </c>
      <c r="G92" s="106">
        <f>'Tables 26a,b-MasterInputs'!F47</f>
        <v>2.75E-2</v>
      </c>
      <c r="H92" s="107">
        <f>E92/'Tables 26a,b-MasterInputs'!$D$14+D92*C92</f>
        <v>0.4</v>
      </c>
      <c r="I92" s="107">
        <f>(1000/(1+'Tables 26a,b-MasterInputs'!E47)-(L91+C92-H92))*F92</f>
        <v>6.4272511177600347</v>
      </c>
      <c r="J92" s="90">
        <f t="shared" si="11"/>
        <v>3.4935296654559349</v>
      </c>
      <c r="K92" s="90">
        <f t="shared" si="15"/>
        <v>6.3518721190107907</v>
      </c>
      <c r="L92" s="108">
        <f t="shared" si="12"/>
        <v>130.53097204567175</v>
      </c>
    </row>
    <row r="93" spans="2:12" x14ac:dyDescent="0.25">
      <c r="B93" s="163">
        <f t="shared" si="13"/>
        <v>18</v>
      </c>
      <c r="C93" s="90">
        <f t="shared" si="14"/>
        <v>10</v>
      </c>
      <c r="D93" s="104">
        <f>'Tables 26a,b-MasterInputs'!F73</f>
        <v>0.02</v>
      </c>
      <c r="E93" s="107">
        <f>'Tables 26a,b-MasterInputs'!G73</f>
        <v>20</v>
      </c>
      <c r="F93" s="178">
        <f>'Tables 26a,b-MasterInputs'!E73</f>
        <v>8.369999999999999E-3</v>
      </c>
      <c r="G93" s="106">
        <f>'Tables 26a,b-MasterInputs'!F48</f>
        <v>2.75E-2</v>
      </c>
      <c r="H93" s="107">
        <f>E93/'Tables 26a,b-MasterInputs'!$D$14+D93*C93</f>
        <v>0.4</v>
      </c>
      <c r="I93" s="107">
        <f>(1000/(1+'Tables 26a,b-MasterInputs'!E48)-(L92+C93-H93))*F93</f>
        <v>6.992957422514313</v>
      </c>
      <c r="J93" s="90">
        <f t="shared" si="11"/>
        <v>3.6612954021368296</v>
      </c>
      <c r="K93" s="90">
        <f t="shared" si="15"/>
        <v>6.6569007311578723</v>
      </c>
      <c r="L93" s="108">
        <f t="shared" si="12"/>
        <v>136.79931002529426</v>
      </c>
    </row>
    <row r="94" spans="2:12" x14ac:dyDescent="0.25">
      <c r="B94" s="163">
        <f t="shared" si="13"/>
        <v>19</v>
      </c>
      <c r="C94" s="90">
        <f t="shared" si="14"/>
        <v>10</v>
      </c>
      <c r="D94" s="104">
        <f>'Tables 26a,b-MasterInputs'!F74</f>
        <v>0.02</v>
      </c>
      <c r="E94" s="107">
        <f>'Tables 26a,b-MasterInputs'!G74</f>
        <v>20</v>
      </c>
      <c r="F94" s="178">
        <f>'Tables 26a,b-MasterInputs'!E74</f>
        <v>9.1979999999999996E-3</v>
      </c>
      <c r="G94" s="106">
        <f>'Tables 26a,b-MasterInputs'!F49</f>
        <v>2.75E-2</v>
      </c>
      <c r="H94" s="107">
        <f>E94/'Tables 26a,b-MasterInputs'!$D$14+D94*C94</f>
        <v>0.4</v>
      </c>
      <c r="I94" s="107">
        <f>(1000/(1+'Tables 26a,b-MasterInputs'!E49)-(L93+C94-H94))*F94</f>
        <v>7.6270776829727103</v>
      </c>
      <c r="J94" s="90">
        <f t="shared" si="11"/>
        <v>3.8162363894138429</v>
      </c>
      <c r="K94" s="90">
        <f t="shared" si="15"/>
        <v>6.9386116171160781</v>
      </c>
      <c r="L94" s="108">
        <f t="shared" si="12"/>
        <v>142.58846873173539</v>
      </c>
    </row>
    <row r="95" spans="2:12" ht="15.75" thickBot="1" x14ac:dyDescent="0.3">
      <c r="B95" s="95">
        <f t="shared" si="13"/>
        <v>20</v>
      </c>
      <c r="C95" s="110">
        <f t="shared" si="14"/>
        <v>10</v>
      </c>
      <c r="D95" s="111">
        <f>'Tables 26a,b-MasterInputs'!F75</f>
        <v>0.02</v>
      </c>
      <c r="E95" s="115">
        <f>'Tables 26a,b-MasterInputs'!G75</f>
        <v>20</v>
      </c>
      <c r="F95" s="179">
        <f>'Tables 26a,b-MasterInputs'!E75</f>
        <v>1.0125E-2</v>
      </c>
      <c r="G95" s="114">
        <f>'Tables 26a,b-MasterInputs'!F50</f>
        <v>2.75E-2</v>
      </c>
      <c r="H95" s="115">
        <f>E95/'Tables 26a,b-MasterInputs'!$D$14+D95*C95</f>
        <v>0.4</v>
      </c>
      <c r="I95" s="115">
        <f>(1000/(1+'Tables 26a,b-MasterInputs'!E50)-(L94+C95-H95))*F95</f>
        <v>8.3371405345789853</v>
      </c>
      <c r="J95" s="110">
        <f t="shared" si="11"/>
        <v>3.9559115254218007</v>
      </c>
      <c r="K95" s="110">
        <f t="shared" si="15"/>
        <v>7.1925664098578199</v>
      </c>
      <c r="L95" s="116">
        <f t="shared" si="12"/>
        <v>147.8072397225782</v>
      </c>
    </row>
    <row r="98" spans="2:13" ht="15.75" thickBot="1" x14ac:dyDescent="0.3"/>
    <row r="99" spans="2:13" x14ac:dyDescent="0.25">
      <c r="B99" s="431" t="s">
        <v>274</v>
      </c>
      <c r="C99" s="432"/>
      <c r="D99" s="432"/>
      <c r="E99" s="432"/>
      <c r="F99" s="432"/>
      <c r="G99" s="432"/>
      <c r="H99" s="432"/>
      <c r="I99" s="432"/>
      <c r="J99" s="432"/>
      <c r="K99" s="432"/>
      <c r="L99" s="432"/>
      <c r="M99" s="433"/>
    </row>
    <row r="100" spans="2:13" ht="15.75" thickBot="1" x14ac:dyDescent="0.3">
      <c r="B100" s="434" t="s">
        <v>119</v>
      </c>
      <c r="C100" s="435"/>
      <c r="D100" s="435"/>
      <c r="E100" s="435"/>
      <c r="F100" s="435"/>
      <c r="G100" s="435"/>
      <c r="H100" s="435"/>
      <c r="I100" s="435"/>
      <c r="J100" s="435"/>
      <c r="K100" s="435"/>
      <c r="L100" s="435"/>
      <c r="M100" s="436"/>
    </row>
    <row r="101" spans="2:13" x14ac:dyDescent="0.25">
      <c r="B101" s="146"/>
      <c r="C101" s="146">
        <f>B101-1</f>
        <v>-1</v>
      </c>
      <c r="D101" s="146">
        <f t="shared" ref="D101:M101" si="16">C101-1</f>
        <v>-2</v>
      </c>
      <c r="E101" s="146">
        <f t="shared" si="16"/>
        <v>-3</v>
      </c>
      <c r="F101" s="146">
        <f t="shared" si="16"/>
        <v>-4</v>
      </c>
      <c r="G101" s="146">
        <f t="shared" si="16"/>
        <v>-5</v>
      </c>
      <c r="H101" s="146">
        <f t="shared" si="16"/>
        <v>-6</v>
      </c>
      <c r="I101" s="146">
        <f t="shared" si="16"/>
        <v>-7</v>
      </c>
      <c r="J101" s="146">
        <f t="shared" si="16"/>
        <v>-8</v>
      </c>
      <c r="K101" s="146">
        <f t="shared" si="16"/>
        <v>-9</v>
      </c>
      <c r="L101" s="146">
        <f t="shared" si="16"/>
        <v>-10</v>
      </c>
      <c r="M101" s="146">
        <f t="shared" si="16"/>
        <v>-11</v>
      </c>
    </row>
    <row r="102" spans="2:13" ht="60.75" thickBot="1" x14ac:dyDescent="0.3">
      <c r="B102" s="156" t="s">
        <v>76</v>
      </c>
      <c r="C102" s="156" t="s">
        <v>17</v>
      </c>
      <c r="D102" s="156" t="s">
        <v>120</v>
      </c>
      <c r="E102" s="156" t="s">
        <v>121</v>
      </c>
      <c r="F102" s="156" t="s">
        <v>73</v>
      </c>
      <c r="G102" s="156" t="s">
        <v>118</v>
      </c>
      <c r="H102" s="156" t="s">
        <v>122</v>
      </c>
      <c r="I102" s="156" t="s">
        <v>123</v>
      </c>
      <c r="J102" s="156" t="s">
        <v>74</v>
      </c>
      <c r="K102" s="156" t="s">
        <v>124</v>
      </c>
      <c r="L102" s="156" t="s">
        <v>125</v>
      </c>
      <c r="M102" s="156" t="s">
        <v>126</v>
      </c>
    </row>
    <row r="103" spans="2:13" x14ac:dyDescent="0.25">
      <c r="B103" s="93"/>
      <c r="C103" s="101"/>
      <c r="D103" s="101"/>
      <c r="E103" s="101"/>
      <c r="F103" s="101"/>
      <c r="G103" s="101"/>
      <c r="H103" s="101"/>
      <c r="I103" s="101"/>
      <c r="J103" s="101"/>
      <c r="K103" s="101"/>
      <c r="L103" s="101"/>
      <c r="M103" s="102"/>
    </row>
    <row r="104" spans="2:13" x14ac:dyDescent="0.25">
      <c r="B104" s="163">
        <v>1</v>
      </c>
      <c r="C104" s="174">
        <f t="shared" ref="C104:C123" si="17">C76*H49</f>
        <v>1000000</v>
      </c>
      <c r="D104" s="174">
        <f t="shared" ref="D104:D123" si="18">H49*I76</f>
        <v>154561.56097560978</v>
      </c>
      <c r="E104" s="174">
        <f t="shared" ref="E104:E123" si="19">H49*H76</f>
        <v>40000</v>
      </c>
      <c r="F104" s="174">
        <f t="shared" ref="F104:F123" si="20">H49*J76</f>
        <v>22149.55707317073</v>
      </c>
      <c r="G104" s="174">
        <f>H49*K76</f>
        <v>40271.921951219512</v>
      </c>
      <c r="H104" s="174">
        <f t="shared" ref="H104:H123" si="21">(J103+C104-D104-E104+F104)*F50/H49</f>
        <v>662.07039687804877</v>
      </c>
      <c r="I104" s="174">
        <f t="shared" ref="I104:I123" si="22">(J103+C104-D104-E104+F104-H104)*G50/(H49-F50)</f>
        <v>124038.88885510244</v>
      </c>
      <c r="J104" s="174">
        <f t="shared" ref="J104:J123" si="23">J103+C104-D104-E104+F104-H104-I104</f>
        <v>702887.03684558044</v>
      </c>
      <c r="K104" s="174">
        <f t="shared" ref="K104:K123" si="24">F50*1000</f>
        <v>80000</v>
      </c>
      <c r="L104" s="174">
        <f>K104-H104</f>
        <v>79337.929603121956</v>
      </c>
      <c r="M104" s="175">
        <f t="shared" ref="M104:M123" si="25">D104-L104</f>
        <v>75223.631372487827</v>
      </c>
    </row>
    <row r="105" spans="2:13" x14ac:dyDescent="0.25">
      <c r="B105" s="163">
        <f t="shared" ref="B105:B123" si="26">B104+1</f>
        <v>2</v>
      </c>
      <c r="C105" s="174">
        <f t="shared" si="17"/>
        <v>849320</v>
      </c>
      <c r="D105" s="174">
        <f t="shared" si="18"/>
        <v>178952.95784967145</v>
      </c>
      <c r="E105" s="174">
        <f t="shared" si="19"/>
        <v>33972.800000000003</v>
      </c>
      <c r="F105" s="174">
        <f t="shared" si="20"/>
        <v>36830.235172387496</v>
      </c>
      <c r="G105" s="174">
        <f t="shared" ref="G105:G123" si="27">H50*K77</f>
        <v>66964.063949795454</v>
      </c>
      <c r="H105" s="174">
        <f t="shared" si="21"/>
        <v>1513.7226655851262</v>
      </c>
      <c r="I105" s="174">
        <f t="shared" si="22"/>
        <v>164951.73498032536</v>
      </c>
      <c r="J105" s="174">
        <f t="shared" si="23"/>
        <v>1209646.0565223859</v>
      </c>
      <c r="K105" s="174">
        <f t="shared" si="24"/>
        <v>93425.2</v>
      </c>
      <c r="L105" s="174">
        <f t="shared" ref="L105:L123" si="28">K105-H105</f>
        <v>91911.477334414871</v>
      </c>
      <c r="M105" s="175">
        <f t="shared" si="25"/>
        <v>87041.480515256582</v>
      </c>
    </row>
    <row r="106" spans="2:13" x14ac:dyDescent="0.25">
      <c r="B106" s="163">
        <f t="shared" si="26"/>
        <v>3</v>
      </c>
      <c r="C106" s="174">
        <f t="shared" si="17"/>
        <v>746579.45823999995</v>
      </c>
      <c r="D106" s="174">
        <f t="shared" si="18"/>
        <v>202804.4818218413</v>
      </c>
      <c r="E106" s="174">
        <f t="shared" si="19"/>
        <v>29863.178329599999</v>
      </c>
      <c r="F106" s="174">
        <f t="shared" si="20"/>
        <v>47397.841001800982</v>
      </c>
      <c r="G106" s="174">
        <f t="shared" si="27"/>
        <v>86177.892730547232</v>
      </c>
      <c r="H106" s="174">
        <f t="shared" si="21"/>
        <v>2532.4666447262261</v>
      </c>
      <c r="I106" s="174">
        <f t="shared" si="22"/>
        <v>176842.32289680192</v>
      </c>
      <c r="J106" s="174">
        <f t="shared" si="23"/>
        <v>1591580.9060712173</v>
      </c>
      <c r="K106" s="174">
        <f t="shared" si="24"/>
        <v>106760.86252832001</v>
      </c>
      <c r="L106" s="174">
        <f t="shared" si="28"/>
        <v>104228.39588359378</v>
      </c>
      <c r="M106" s="175">
        <f t="shared" si="25"/>
        <v>98576.085938247517</v>
      </c>
    </row>
    <row r="107" spans="2:13" x14ac:dyDescent="0.25">
      <c r="B107" s="163">
        <f t="shared" si="26"/>
        <v>4</v>
      </c>
      <c r="C107" s="174">
        <f t="shared" si="17"/>
        <v>670960.66465324501</v>
      </c>
      <c r="D107" s="174">
        <f t="shared" si="18"/>
        <v>216225.64872159308</v>
      </c>
      <c r="E107" s="174">
        <f t="shared" si="19"/>
        <v>26838.426586129804</v>
      </c>
      <c r="F107" s="174">
        <f t="shared" si="20"/>
        <v>55535.631123960346</v>
      </c>
      <c r="G107" s="174">
        <f t="shared" si="27"/>
        <v>100973.87477083699</v>
      </c>
      <c r="H107" s="174">
        <f t="shared" si="21"/>
        <v>3548.2724463845966</v>
      </c>
      <c r="I107" s="174">
        <f t="shared" si="22"/>
        <v>186431.8368684884</v>
      </c>
      <c r="J107" s="174">
        <f t="shared" si="23"/>
        <v>1885033.0172258266</v>
      </c>
      <c r="K107" s="174">
        <f t="shared" si="24"/>
        <v>114734.27365570489</v>
      </c>
      <c r="L107" s="174">
        <f t="shared" si="28"/>
        <v>111186.0012093203</v>
      </c>
      <c r="M107" s="175">
        <f t="shared" si="25"/>
        <v>105039.64751227279</v>
      </c>
    </row>
    <row r="108" spans="2:13" x14ac:dyDescent="0.25">
      <c r="B108" s="163">
        <f t="shared" si="26"/>
        <v>5</v>
      </c>
      <c r="C108" s="174">
        <f t="shared" si="17"/>
        <v>609530.12294418621</v>
      </c>
      <c r="D108" s="174">
        <f t="shared" si="18"/>
        <v>221145.14550814251</v>
      </c>
      <c r="E108" s="174">
        <f t="shared" si="19"/>
        <v>24381.204917767449</v>
      </c>
      <c r="F108" s="174">
        <f t="shared" si="20"/>
        <v>61848.511717962858</v>
      </c>
      <c r="G108" s="174">
        <f t="shared" si="27"/>
        <v>112451.83948720519</v>
      </c>
      <c r="H108" s="174">
        <f t="shared" si="21"/>
        <v>4483.1174848364062</v>
      </c>
      <c r="I108" s="174">
        <f t="shared" si="22"/>
        <v>184512.17471817831</v>
      </c>
      <c r="J108" s="174">
        <f t="shared" si="23"/>
        <v>2121890.0092590507</v>
      </c>
      <c r="K108" s="174">
        <f t="shared" si="24"/>
        <v>118248.84385117212</v>
      </c>
      <c r="L108" s="174">
        <f t="shared" si="28"/>
        <v>113765.72636633572</v>
      </c>
      <c r="M108" s="175">
        <f t="shared" si="25"/>
        <v>107379.41914180679</v>
      </c>
    </row>
    <row r="109" spans="2:13" x14ac:dyDescent="0.25">
      <c r="B109" s="163">
        <f t="shared" si="26"/>
        <v>6</v>
      </c>
      <c r="C109" s="174">
        <f t="shared" si="17"/>
        <v>559679.82374522043</v>
      </c>
      <c r="D109" s="174">
        <f t="shared" si="18"/>
        <v>207567.13306652789</v>
      </c>
      <c r="E109" s="174">
        <f t="shared" si="19"/>
        <v>22387.192949808821</v>
      </c>
      <c r="F109" s="174">
        <f t="shared" si="20"/>
        <v>67419.426442168231</v>
      </c>
      <c r="G109" s="174">
        <f t="shared" si="27"/>
        <v>122580.77534939679</v>
      </c>
      <c r="H109" s="174">
        <f t="shared" si="21"/>
        <v>5592.2575522148281</v>
      </c>
      <c r="I109" s="174">
        <f t="shared" si="22"/>
        <v>175940.98731145216</v>
      </c>
      <c r="J109" s="174">
        <f t="shared" si="23"/>
        <v>2337501.6885664356</v>
      </c>
      <c r="K109" s="174">
        <f t="shared" si="24"/>
        <v>124248.92087143895</v>
      </c>
      <c r="L109" s="174">
        <f t="shared" si="28"/>
        <v>118656.66331922413</v>
      </c>
      <c r="M109" s="175">
        <f t="shared" si="25"/>
        <v>88910.469747303767</v>
      </c>
    </row>
    <row r="110" spans="2:13" x14ac:dyDescent="0.25">
      <c r="B110" s="163">
        <f t="shared" si="26"/>
        <v>7</v>
      </c>
      <c r="C110" s="174">
        <f t="shared" si="17"/>
        <v>519346.72111895063</v>
      </c>
      <c r="D110" s="174">
        <f t="shared" si="18"/>
        <v>193623.52412106862</v>
      </c>
      <c r="E110" s="174">
        <f t="shared" si="19"/>
        <v>20773.868844758028</v>
      </c>
      <c r="F110" s="174">
        <f t="shared" si="20"/>
        <v>72667.402959787927</v>
      </c>
      <c r="G110" s="174">
        <f t="shared" si="27"/>
        <v>132122.55083597807</v>
      </c>
      <c r="H110" s="174">
        <f t="shared" si="21"/>
        <v>6869.2496017887488</v>
      </c>
      <c r="I110" s="174">
        <f t="shared" si="22"/>
        <v>162494.95020465349</v>
      </c>
      <c r="J110" s="174">
        <f t="shared" si="23"/>
        <v>2545754.2198729049</v>
      </c>
      <c r="K110" s="174">
        <f t="shared" si="24"/>
        <v>131394.72044309453</v>
      </c>
      <c r="L110" s="174">
        <f t="shared" si="28"/>
        <v>124525.47084130578</v>
      </c>
      <c r="M110" s="175">
        <f t="shared" si="25"/>
        <v>69098.05327976284</v>
      </c>
    </row>
    <row r="111" spans="2:13" x14ac:dyDescent="0.25">
      <c r="B111" s="163">
        <f t="shared" si="26"/>
        <v>8</v>
      </c>
      <c r="C111" s="174">
        <f t="shared" si="17"/>
        <v>486950.8074796485</v>
      </c>
      <c r="D111" s="174">
        <f t="shared" si="18"/>
        <v>176285.89700992711</v>
      </c>
      <c r="E111" s="174">
        <f t="shared" si="19"/>
        <v>19478.032299185939</v>
      </c>
      <c r="F111" s="174">
        <f t="shared" si="20"/>
        <v>78015.880196194645</v>
      </c>
      <c r="G111" s="174">
        <f t="shared" si="27"/>
        <v>141847.05490217209</v>
      </c>
      <c r="H111" s="174">
        <f t="shared" si="21"/>
        <v>8249.3282484181655</v>
      </c>
      <c r="I111" s="174">
        <f t="shared" si="22"/>
        <v>145335.38249956086</v>
      </c>
      <c r="J111" s="174">
        <f t="shared" si="23"/>
        <v>2761372.2674916559</v>
      </c>
      <c r="K111" s="174">
        <f t="shared" si="24"/>
        <v>137807.07851674053</v>
      </c>
      <c r="L111" s="174">
        <f t="shared" si="28"/>
        <v>129557.75026832236</v>
      </c>
      <c r="M111" s="175">
        <f t="shared" si="25"/>
        <v>46728.146741604753</v>
      </c>
    </row>
    <row r="112" spans="2:13" x14ac:dyDescent="0.25">
      <c r="B112" s="163">
        <f t="shared" si="26"/>
        <v>9</v>
      </c>
      <c r="C112" s="174">
        <f t="shared" si="17"/>
        <v>461294.09985975706</v>
      </c>
      <c r="D112" s="174">
        <f t="shared" si="18"/>
        <v>155997.9277516485</v>
      </c>
      <c r="E112" s="174">
        <f t="shared" si="19"/>
        <v>18451.763994390283</v>
      </c>
      <c r="F112" s="174">
        <f t="shared" si="20"/>
        <v>83825.958579147817</v>
      </c>
      <c r="G112" s="174">
        <f t="shared" si="27"/>
        <v>152410.83378026876</v>
      </c>
      <c r="H112" s="174">
        <f t="shared" si="21"/>
        <v>9740.6525923138615</v>
      </c>
      <c r="I112" s="174">
        <f t="shared" si="22"/>
        <v>124892.07926368834</v>
      </c>
      <c r="J112" s="174">
        <f t="shared" si="23"/>
        <v>2997409.9023285192</v>
      </c>
      <c r="K112" s="174">
        <f t="shared" si="24"/>
        <v>143462.46505638445</v>
      </c>
      <c r="L112" s="174">
        <f t="shared" si="28"/>
        <v>133721.81246407059</v>
      </c>
      <c r="M112" s="175">
        <f t="shared" si="25"/>
        <v>22276.115287577908</v>
      </c>
    </row>
    <row r="113" spans="2:13" x14ac:dyDescent="0.25">
      <c r="B113" s="163">
        <f t="shared" si="26"/>
        <v>10</v>
      </c>
      <c r="C113" s="174">
        <f t="shared" si="17"/>
        <v>441465.09620082559</v>
      </c>
      <c r="D113" s="174">
        <f t="shared" si="18"/>
        <v>136787.49435472491</v>
      </c>
      <c r="E113" s="174">
        <f t="shared" si="19"/>
        <v>17658.603848033024</v>
      </c>
      <c r="F113" s="174">
        <f t="shared" si="20"/>
        <v>90321.794758981196</v>
      </c>
      <c r="G113" s="174">
        <f t="shared" si="27"/>
        <v>164221.44501632944</v>
      </c>
      <c r="H113" s="174">
        <f t="shared" si="21"/>
        <v>11642.889898045207</v>
      </c>
      <c r="I113" s="174">
        <f t="shared" si="22"/>
        <v>134524.31220750095</v>
      </c>
      <c r="J113" s="174">
        <f t="shared" si="23"/>
        <v>3228583.492980022</v>
      </c>
      <c r="K113" s="174">
        <f t="shared" si="24"/>
        <v>152305.45818928478</v>
      </c>
      <c r="L113" s="174">
        <f t="shared" si="28"/>
        <v>140662.56829123956</v>
      </c>
      <c r="M113" s="175">
        <f t="shared" si="25"/>
        <v>-3875.0739365146437</v>
      </c>
    </row>
    <row r="114" spans="2:13" x14ac:dyDescent="0.25">
      <c r="B114" s="163">
        <f t="shared" si="26"/>
        <v>11</v>
      </c>
      <c r="C114" s="174">
        <f t="shared" si="17"/>
        <v>422344.35995417536</v>
      </c>
      <c r="D114" s="174">
        <f t="shared" si="18"/>
        <v>132209.86360726523</v>
      </c>
      <c r="E114" s="174">
        <f t="shared" si="19"/>
        <v>16893.774398167017</v>
      </c>
      <c r="F114" s="174">
        <f t="shared" si="20"/>
        <v>96300.165910541065</v>
      </c>
      <c r="G114" s="174">
        <f t="shared" si="27"/>
        <v>175091.21074643833</v>
      </c>
      <c r="H114" s="174">
        <f t="shared" si="21"/>
        <v>14068.66632908169</v>
      </c>
      <c r="I114" s="174">
        <f t="shared" si="22"/>
        <v>143362.22858040899</v>
      </c>
      <c r="J114" s="174">
        <f t="shared" si="23"/>
        <v>3440693.4859298156</v>
      </c>
      <c r="K114" s="174">
        <f t="shared" si="24"/>
        <v>165136.64474208257</v>
      </c>
      <c r="L114" s="174">
        <f t="shared" si="28"/>
        <v>151067.97841300088</v>
      </c>
      <c r="M114" s="175">
        <f t="shared" si="25"/>
        <v>-18858.114805735648</v>
      </c>
    </row>
    <row r="115" spans="2:13" x14ac:dyDescent="0.25">
      <c r="B115" s="163">
        <f t="shared" si="26"/>
        <v>12</v>
      </c>
      <c r="C115" s="174">
        <f t="shared" si="17"/>
        <v>403865.2737664844</v>
      </c>
      <c r="D115" s="174">
        <f t="shared" si="18"/>
        <v>146952.41816195589</v>
      </c>
      <c r="E115" s="174">
        <f t="shared" si="19"/>
        <v>16154.610950659377</v>
      </c>
      <c r="F115" s="174">
        <f t="shared" si="20"/>
        <v>101239.92259105135</v>
      </c>
      <c r="G115" s="174">
        <f t="shared" si="27"/>
        <v>184072.58652918428</v>
      </c>
      <c r="H115" s="174">
        <f t="shared" si="21"/>
        <v>17362.554688072043</v>
      </c>
      <c r="I115" s="174">
        <f t="shared" si="22"/>
        <v>150613.16393946655</v>
      </c>
      <c r="J115" s="174">
        <f t="shared" si="23"/>
        <v>3614715.934547198</v>
      </c>
      <c r="K115" s="174">
        <f t="shared" si="24"/>
        <v>185374.16065881634</v>
      </c>
      <c r="L115" s="174">
        <f t="shared" si="28"/>
        <v>168011.60597074431</v>
      </c>
      <c r="M115" s="175">
        <f t="shared" si="25"/>
        <v>-21059.187808788411</v>
      </c>
    </row>
    <row r="116" spans="2:13" x14ac:dyDescent="0.25">
      <c r="B116" s="163">
        <f t="shared" si="26"/>
        <v>13</v>
      </c>
      <c r="C116" s="174">
        <f t="shared" si="17"/>
        <v>385931.07087350037</v>
      </c>
      <c r="D116" s="174">
        <f t="shared" si="18"/>
        <v>163013.68702902211</v>
      </c>
      <c r="E116" s="174">
        <f t="shared" si="19"/>
        <v>15437.242834940014</v>
      </c>
      <c r="F116" s="174">
        <f t="shared" si="20"/>
        <v>105110.39207781026</v>
      </c>
      <c r="G116" s="174">
        <f t="shared" si="27"/>
        <v>191109.80377783685</v>
      </c>
      <c r="H116" s="174">
        <f t="shared" si="21"/>
        <v>21128.908795873856</v>
      </c>
      <c r="I116" s="174">
        <f t="shared" si="22"/>
        <v>156247.10235354688</v>
      </c>
      <c r="J116" s="174">
        <f t="shared" si="23"/>
        <v>3749930.4564851257</v>
      </c>
      <c r="K116" s="174">
        <f t="shared" si="24"/>
        <v>207630.91612994319</v>
      </c>
      <c r="L116" s="174">
        <f t="shared" si="28"/>
        <v>186502.00733406932</v>
      </c>
      <c r="M116" s="175">
        <f t="shared" si="25"/>
        <v>-23488.320305047208</v>
      </c>
    </row>
    <row r="117" spans="2:13" x14ac:dyDescent="0.25">
      <c r="B117" s="163">
        <f t="shared" si="26"/>
        <v>14</v>
      </c>
      <c r="C117" s="174">
        <f t="shared" si="17"/>
        <v>368500.57124371291</v>
      </c>
      <c r="D117" s="174">
        <f t="shared" si="18"/>
        <v>176563.00701774491</v>
      </c>
      <c r="E117" s="174">
        <f t="shared" si="19"/>
        <v>14740.022849748517</v>
      </c>
      <c r="F117" s="174">
        <f t="shared" si="20"/>
        <v>107996.01994118698</v>
      </c>
      <c r="G117" s="174">
        <f t="shared" si="27"/>
        <v>196356.39989306728</v>
      </c>
      <c r="H117" s="174">
        <f t="shared" si="21"/>
        <v>24856.363949663602</v>
      </c>
      <c r="I117" s="174">
        <f t="shared" si="22"/>
        <v>160410.70615411477</v>
      </c>
      <c r="J117" s="174">
        <f t="shared" si="23"/>
        <v>3849856.9476987547</v>
      </c>
      <c r="K117" s="174">
        <f t="shared" si="24"/>
        <v>226996.35188612714</v>
      </c>
      <c r="L117" s="174">
        <f t="shared" si="28"/>
        <v>202139.98793646356</v>
      </c>
      <c r="M117" s="175">
        <f t="shared" si="25"/>
        <v>-25576.980918718647</v>
      </c>
    </row>
    <row r="118" spans="2:13" x14ac:dyDescent="0.25">
      <c r="B118" s="163">
        <f t="shared" si="26"/>
        <v>15</v>
      </c>
      <c r="C118" s="174">
        <f t="shared" si="17"/>
        <v>351581.38341585756</v>
      </c>
      <c r="D118" s="174">
        <f t="shared" si="18"/>
        <v>187816.32588307562</v>
      </c>
      <c r="E118" s="174">
        <f t="shared" si="19"/>
        <v>14063.255336634304</v>
      </c>
      <c r="F118" s="174">
        <f t="shared" si="20"/>
        <v>109987.86562210979</v>
      </c>
      <c r="G118" s="174">
        <f t="shared" si="27"/>
        <v>199977.93749474507</v>
      </c>
      <c r="H118" s="174">
        <f t="shared" si="21"/>
        <v>28479.158045532899</v>
      </c>
      <c r="I118" s="174">
        <f t="shared" si="22"/>
        <v>163242.69829885918</v>
      </c>
      <c r="J118" s="174">
        <f t="shared" si="23"/>
        <v>3917824.7591726203</v>
      </c>
      <c r="K118" s="174">
        <f t="shared" si="24"/>
        <v>243645.89870718931</v>
      </c>
      <c r="L118" s="174">
        <f t="shared" si="28"/>
        <v>215166.7406616564</v>
      </c>
      <c r="M118" s="175">
        <f t="shared" si="25"/>
        <v>-27350.414778580773</v>
      </c>
    </row>
    <row r="119" spans="2:13" x14ac:dyDescent="0.25">
      <c r="B119" s="163">
        <f t="shared" si="26"/>
        <v>16</v>
      </c>
      <c r="C119" s="174">
        <f t="shared" si="17"/>
        <v>335179.12745163427</v>
      </c>
      <c r="D119" s="174">
        <f t="shared" si="18"/>
        <v>199026.41605507748</v>
      </c>
      <c r="E119" s="174">
        <f t="shared" si="19"/>
        <v>13407.165098065372</v>
      </c>
      <c r="F119" s="174">
        <f t="shared" si="20"/>
        <v>111115.68340045556</v>
      </c>
      <c r="G119" s="174">
        <f t="shared" si="27"/>
        <v>202028.51527355556</v>
      </c>
      <c r="H119" s="174">
        <f t="shared" si="21"/>
        <v>32258.600133532069</v>
      </c>
      <c r="I119" s="174">
        <f t="shared" si="22"/>
        <v>164777.09554952139</v>
      </c>
      <c r="J119" s="174">
        <f t="shared" si="23"/>
        <v>3954650.2931885128</v>
      </c>
      <c r="K119" s="174">
        <f t="shared" si="24"/>
        <v>260434.18202991984</v>
      </c>
      <c r="L119" s="174">
        <f t="shared" si="28"/>
        <v>228175.58189638777</v>
      </c>
      <c r="M119" s="175">
        <f t="shared" si="25"/>
        <v>-29149.165841310285</v>
      </c>
    </row>
    <row r="120" spans="2:13" x14ac:dyDescent="0.25">
      <c r="B120" s="163">
        <f t="shared" si="26"/>
        <v>17</v>
      </c>
      <c r="C120" s="174">
        <f t="shared" si="17"/>
        <v>319271.7942060816</v>
      </c>
      <c r="D120" s="174">
        <f t="shared" si="18"/>
        <v>205203.99961802899</v>
      </c>
      <c r="E120" s="174">
        <f t="shared" si="19"/>
        <v>12770.871768243265</v>
      </c>
      <c r="F120" s="174">
        <f t="shared" si="20"/>
        <v>111538.54844022884</v>
      </c>
      <c r="G120" s="174">
        <f t="shared" si="27"/>
        <v>202797.36080041606</v>
      </c>
      <c r="H120" s="174">
        <f t="shared" si="21"/>
        <v>35340.279282523712</v>
      </c>
      <c r="I120" s="174">
        <f t="shared" si="22"/>
        <v>165285.81940664107</v>
      </c>
      <c r="J120" s="174">
        <f t="shared" si="23"/>
        <v>3966859.6657593856</v>
      </c>
      <c r="K120" s="174">
        <f t="shared" si="24"/>
        <v>270742.48148675723</v>
      </c>
      <c r="L120" s="174">
        <f t="shared" si="28"/>
        <v>235402.2022042335</v>
      </c>
      <c r="M120" s="175">
        <f t="shared" si="25"/>
        <v>-30198.202586204512</v>
      </c>
    </row>
    <row r="121" spans="2:13" x14ac:dyDescent="0.25">
      <c r="B121" s="163">
        <f t="shared" si="26"/>
        <v>18</v>
      </c>
      <c r="C121" s="174">
        <f t="shared" si="17"/>
        <v>303901.79461556545</v>
      </c>
      <c r="D121" s="174">
        <f t="shared" si="18"/>
        <v>212517.23103723387</v>
      </c>
      <c r="E121" s="174">
        <f t="shared" si="19"/>
        <v>12156.071784622618</v>
      </c>
      <c r="F121" s="174">
        <f t="shared" si="20"/>
        <v>111267.42433271008</v>
      </c>
      <c r="G121" s="174">
        <f t="shared" si="27"/>
        <v>202304.40787765471</v>
      </c>
      <c r="H121" s="174">
        <f t="shared" si="21"/>
        <v>38663.406911537975</v>
      </c>
      <c r="I121" s="174">
        <f t="shared" si="22"/>
        <v>164747.68699897066</v>
      </c>
      <c r="J121" s="174">
        <f t="shared" si="23"/>
        <v>3953944.4879752961</v>
      </c>
      <c r="K121" s="174">
        <f t="shared" si="24"/>
        <v>282628.66899247578</v>
      </c>
      <c r="L121" s="174">
        <f t="shared" si="28"/>
        <v>243965.2620809378</v>
      </c>
      <c r="M121" s="175">
        <f t="shared" si="25"/>
        <v>-31448.03104370393</v>
      </c>
    </row>
    <row r="122" spans="2:13" x14ac:dyDescent="0.25">
      <c r="B122" s="163">
        <f t="shared" si="26"/>
        <v>19</v>
      </c>
      <c r="C122" s="174">
        <f t="shared" si="17"/>
        <v>289032.48760861508</v>
      </c>
      <c r="D122" s="174">
        <f t="shared" si="18"/>
        <v>220447.32358937542</v>
      </c>
      <c r="E122" s="174">
        <f t="shared" si="19"/>
        <v>11561.299504344603</v>
      </c>
      <c r="F122" s="174">
        <f t="shared" si="20"/>
        <v>110301.62969348024</v>
      </c>
      <c r="G122" s="174">
        <f t="shared" si="27"/>
        <v>200548.41762450952</v>
      </c>
      <c r="H122" s="174">
        <f t="shared" si="21"/>
        <v>42119.379217917121</v>
      </c>
      <c r="I122" s="174">
        <f t="shared" si="22"/>
        <v>163166.02411863019</v>
      </c>
      <c r="J122" s="174">
        <f t="shared" si="23"/>
        <v>3915984.5788471238</v>
      </c>
      <c r="K122" s="174">
        <f t="shared" si="24"/>
        <v>295391.20233600459</v>
      </c>
      <c r="L122" s="174">
        <f t="shared" si="28"/>
        <v>253271.82311808746</v>
      </c>
      <c r="M122" s="175">
        <f t="shared" si="25"/>
        <v>-32824.49952871204</v>
      </c>
    </row>
    <row r="123" spans="2:13" ht="15.75" thickBot="1" x14ac:dyDescent="0.3">
      <c r="B123" s="95">
        <f t="shared" si="26"/>
        <v>20</v>
      </c>
      <c r="C123" s="176">
        <f t="shared" si="17"/>
        <v>274635.43256184482</v>
      </c>
      <c r="D123" s="176">
        <f t="shared" si="18"/>
        <v>228967.41970429898</v>
      </c>
      <c r="E123" s="176">
        <f t="shared" si="19"/>
        <v>10985.417302473794</v>
      </c>
      <c r="F123" s="176">
        <f t="shared" si="20"/>
        <v>108643.34729606037</v>
      </c>
      <c r="G123" s="176">
        <f t="shared" si="27"/>
        <v>197533.35872010977</v>
      </c>
      <c r="H123" s="176">
        <f t="shared" si="21"/>
        <v>45667.243369105374</v>
      </c>
      <c r="I123" s="176">
        <f t="shared" si="22"/>
        <v>4013643.2783291512</v>
      </c>
      <c r="J123" s="176">
        <f t="shared" si="23"/>
        <v>0</v>
      </c>
      <c r="K123" s="176">
        <f t="shared" si="24"/>
        <v>308964.86163207539</v>
      </c>
      <c r="L123" s="176">
        <f t="shared" si="28"/>
        <v>263297.61826297001</v>
      </c>
      <c r="M123" s="177">
        <f t="shared" si="25"/>
        <v>-34330.198558671022</v>
      </c>
    </row>
  </sheetData>
  <mergeCells count="8">
    <mergeCell ref="B99:M99"/>
    <mergeCell ref="B100:M100"/>
    <mergeCell ref="B71:L71"/>
    <mergeCell ref="B72:L72"/>
    <mergeCell ref="B16:J16"/>
    <mergeCell ref="B17:J17"/>
    <mergeCell ref="B45:H45"/>
    <mergeCell ref="B46:H46"/>
  </mergeCells>
  <pageMargins left="0.7" right="0.7" top="0.75" bottom="0.75" header="0.3" footer="0.3"/>
  <pageSetup orientation="portrait" r:id="rId1"/>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0117F-311C-CD4B-853C-0CC91659C20E}">
  <sheetPr codeName="Sheet9"/>
  <dimension ref="A1:L30"/>
  <sheetViews>
    <sheetView showGridLines="0" workbookViewId="0">
      <selection activeCell="D15" sqref="D15"/>
    </sheetView>
  </sheetViews>
  <sheetFormatPr defaultColWidth="11.5703125" defaultRowHeight="15" x14ac:dyDescent="0.25"/>
  <cols>
    <col min="1" max="1" width="11.5703125" style="75"/>
    <col min="2" max="2" width="8.85546875" style="81" customWidth="1"/>
    <col min="3" max="3" width="9.42578125" style="75" customWidth="1"/>
    <col min="4" max="4" width="10.5703125" style="75" customWidth="1"/>
    <col min="5" max="5" width="9.5703125" style="75" customWidth="1"/>
    <col min="6" max="7" width="11.5703125" style="75"/>
    <col min="8" max="8" width="8.140625" style="75" customWidth="1"/>
    <col min="9" max="9" width="9.5703125" style="75" customWidth="1"/>
    <col min="10" max="10" width="14.5703125" style="75" customWidth="1"/>
    <col min="11" max="16384" width="11.5703125" style="75"/>
  </cols>
  <sheetData>
    <row r="1" spans="1:10" x14ac:dyDescent="0.25">
      <c r="A1" s="76" t="s">
        <v>368</v>
      </c>
    </row>
    <row r="2" spans="1:10" x14ac:dyDescent="0.25">
      <c r="A2" s="45" t="s">
        <v>369</v>
      </c>
    </row>
    <row r="3" spans="1:10" x14ac:dyDescent="0.25">
      <c r="A3" s="78" t="s">
        <v>370</v>
      </c>
    </row>
    <row r="4" spans="1:10" x14ac:dyDescent="0.25">
      <c r="A4" s="79" t="s">
        <v>379</v>
      </c>
    </row>
    <row r="5" spans="1:10" ht="15.75" thickBot="1" x14ac:dyDescent="0.3"/>
    <row r="6" spans="1:10" x14ac:dyDescent="0.25">
      <c r="B6" s="431" t="s">
        <v>275</v>
      </c>
      <c r="C6" s="432"/>
      <c r="D6" s="432"/>
      <c r="E6" s="432"/>
      <c r="F6" s="432"/>
      <c r="G6" s="432"/>
      <c r="H6" s="432"/>
      <c r="I6" s="433"/>
      <c r="J6" s="17"/>
    </row>
    <row r="7" spans="1:10" ht="15.75" thickBot="1" x14ac:dyDescent="0.3">
      <c r="B7" s="434" t="s">
        <v>127</v>
      </c>
      <c r="C7" s="435"/>
      <c r="D7" s="435"/>
      <c r="E7" s="435"/>
      <c r="F7" s="435"/>
      <c r="G7" s="435"/>
      <c r="H7" s="435"/>
      <c r="I7" s="436"/>
      <c r="J7" s="34"/>
    </row>
    <row r="8" spans="1:10" x14ac:dyDescent="0.25">
      <c r="B8" s="146"/>
      <c r="C8" s="146">
        <f>B8-1</f>
        <v>-1</v>
      </c>
      <c r="D8" s="146">
        <f t="shared" ref="D8:J8" si="0">C8-1</f>
        <v>-2</v>
      </c>
      <c r="E8" s="146">
        <f t="shared" si="0"/>
        <v>-3</v>
      </c>
      <c r="F8" s="146">
        <f t="shared" si="0"/>
        <v>-4</v>
      </c>
      <c r="G8" s="146">
        <f t="shared" si="0"/>
        <v>-5</v>
      </c>
      <c r="H8" s="146">
        <f t="shared" si="0"/>
        <v>-6</v>
      </c>
      <c r="I8" s="146">
        <f t="shared" si="0"/>
        <v>-7</v>
      </c>
      <c r="J8" s="180">
        <f t="shared" si="0"/>
        <v>-8</v>
      </c>
    </row>
    <row r="9" spans="1:10" ht="60.75" thickBot="1" x14ac:dyDescent="0.3">
      <c r="B9" s="156" t="s">
        <v>76</v>
      </c>
      <c r="C9" s="156" t="s">
        <v>276</v>
      </c>
      <c r="D9" s="156" t="s">
        <v>277</v>
      </c>
      <c r="E9" s="156" t="s">
        <v>128</v>
      </c>
      <c r="F9" s="156" t="s">
        <v>278</v>
      </c>
      <c r="G9" s="156" t="s">
        <v>279</v>
      </c>
      <c r="H9" s="156" t="s">
        <v>129</v>
      </c>
      <c r="I9" s="156" t="s">
        <v>130</v>
      </c>
      <c r="J9" s="181" t="s">
        <v>131</v>
      </c>
    </row>
    <row r="10" spans="1:10" x14ac:dyDescent="0.25">
      <c r="B10" s="93"/>
      <c r="C10" s="101"/>
      <c r="D10" s="101"/>
      <c r="E10" s="101"/>
      <c r="F10" s="101"/>
      <c r="G10" s="101"/>
      <c r="H10" s="101"/>
      <c r="I10" s="102"/>
      <c r="J10" s="102"/>
    </row>
    <row r="11" spans="1:10" x14ac:dyDescent="0.25">
      <c r="B11" s="163">
        <v>1</v>
      </c>
      <c r="C11" s="174">
        <f>'Tables 7-5 to 7-8 PFBL'!D104+'Tables 7-5 to 7-8 PFBL'!E104+'Tables 7-5 to 7-8 PFBL'!G104-'Tables 7-5 to 7-8 PFBL'!F104</f>
        <v>212683.92585365858</v>
      </c>
      <c r="D11" s="174">
        <f>'Tables 7-5 to 7-8 PFBL'!L104</f>
        <v>79337.929603121956</v>
      </c>
      <c r="E11" s="106">
        <f>'Tables 7-5 to 7-8 PFBL'!E20</f>
        <v>2.75E-2</v>
      </c>
      <c r="F11" s="174">
        <f>F12/(1+$E11)+C11/(1+$E11)^0.5</f>
        <v>4190496.1728248536</v>
      </c>
      <c r="G11" s="174">
        <f t="shared" ref="G11:G30" si="1">G12/(1+$E11)+D11/(1+$E11)^0.5</f>
        <v>2408248.0293382145</v>
      </c>
      <c r="H11" s="182">
        <f>G11/F11</f>
        <v>0.57469281202440314</v>
      </c>
      <c r="I11" s="175">
        <f>G11-H$11*F11</f>
        <v>0</v>
      </c>
      <c r="J11" s="175">
        <v>0</v>
      </c>
    </row>
    <row r="12" spans="1:10" x14ac:dyDescent="0.25">
      <c r="B12" s="163">
        <f t="shared" ref="B12:B30" si="2">B11+1</f>
        <v>2</v>
      </c>
      <c r="C12" s="174">
        <f>'Tables 7-5 to 7-8 PFBL'!D105+'Tables 7-5 to 7-8 PFBL'!E105+'Tables 7-5 to 7-8 PFBL'!G105-'Tables 7-5 to 7-8 PFBL'!F105</f>
        <v>243059.58662707941</v>
      </c>
      <c r="D12" s="174">
        <f>'Tables 7-5 to 7-8 PFBL'!L105</f>
        <v>91911.477334414871</v>
      </c>
      <c r="E12" s="106">
        <f>'Tables 7-5 to 7-8 PFBL'!E21</f>
        <v>2.75E-2</v>
      </c>
      <c r="F12" s="174">
        <f t="shared" ref="F12:F30" si="3">F13/(1+$E12)+C12/(1+$E12)^0.5</f>
        <v>4090146.3212350169</v>
      </c>
      <c r="G12" s="174">
        <f t="shared" si="1"/>
        <v>2394053.4225387056</v>
      </c>
      <c r="H12" s="174"/>
      <c r="I12" s="175">
        <f t="shared" ref="I12:I30" si="4">G12-H$11*F12</f>
        <v>43475.73159688618</v>
      </c>
      <c r="J12" s="175">
        <f>J11*(1+E11)+(C11*H$11-D11)*(1+E11)^0.5</f>
        <v>43475.731596885867</v>
      </c>
    </row>
    <row r="13" spans="1:10" x14ac:dyDescent="0.25">
      <c r="B13" s="163">
        <f t="shared" si="2"/>
        <v>3</v>
      </c>
      <c r="C13" s="174">
        <f>'Tables 7-5 to 7-8 PFBL'!D106+'Tables 7-5 to 7-8 PFBL'!E106+'Tables 7-5 to 7-8 PFBL'!G106-'Tables 7-5 to 7-8 PFBL'!F106</f>
        <v>271447.71188018756</v>
      </c>
      <c r="D13" s="174">
        <f>'Tables 7-5 to 7-8 PFBL'!L106</f>
        <v>104228.39588359378</v>
      </c>
      <c r="E13" s="106">
        <f>'Tables 7-5 to 7-8 PFBL'!E22</f>
        <v>2.75E-2</v>
      </c>
      <c r="F13" s="174">
        <f t="shared" si="3"/>
        <v>3956246.3552499651</v>
      </c>
      <c r="G13" s="174">
        <f t="shared" si="1"/>
        <v>2366723.2025652397</v>
      </c>
      <c r="H13" s="174"/>
      <c r="I13" s="175">
        <f t="shared" si="4"/>
        <v>93096.859605341684</v>
      </c>
      <c r="J13" s="175">
        <f t="shared" ref="J13:J30" si="5">J12*(1+E12)+(C12*H$11-D12)*(1+E12)^0.5</f>
        <v>93096.859605341044</v>
      </c>
    </row>
    <row r="14" spans="1:10" x14ac:dyDescent="0.25">
      <c r="B14" s="163">
        <f t="shared" si="2"/>
        <v>4</v>
      </c>
      <c r="C14" s="174">
        <f>'Tables 7-5 to 7-8 PFBL'!D107+'Tables 7-5 to 7-8 PFBL'!E107+'Tables 7-5 to 7-8 PFBL'!G107-'Tables 7-5 to 7-8 PFBL'!F107</f>
        <v>288502.31895459956</v>
      </c>
      <c r="D14" s="174">
        <f>'Tables 7-5 to 7-8 PFBL'!L107</f>
        <v>111186.0012093203</v>
      </c>
      <c r="E14" s="106">
        <f>'Tables 7-5 to 7-8 PFBL'!E23</f>
        <v>2.75E-2</v>
      </c>
      <c r="F14" s="174">
        <f t="shared" si="3"/>
        <v>3789888.3255131734</v>
      </c>
      <c r="G14" s="174">
        <f t="shared" si="1"/>
        <v>2326156.2739573661</v>
      </c>
      <c r="H14" s="174"/>
      <c r="I14" s="175">
        <f t="shared" si="4"/>
        <v>148134.69490974396</v>
      </c>
      <c r="J14" s="175">
        <f t="shared" si="5"/>
        <v>148134.69490974373</v>
      </c>
    </row>
    <row r="15" spans="1:10" x14ac:dyDescent="0.25">
      <c r="B15" s="163">
        <f t="shared" si="2"/>
        <v>5</v>
      </c>
      <c r="C15" s="174">
        <f>'Tables 7-5 to 7-8 PFBL'!D108+'Tables 7-5 to 7-8 PFBL'!E108+'Tables 7-5 to 7-8 PFBL'!G108-'Tables 7-5 to 7-8 PFBL'!F108</f>
        <v>296129.67819515232</v>
      </c>
      <c r="D15" s="174">
        <f>'Tables 7-5 to 7-8 PFBL'!L108</f>
        <v>113765.72636633572</v>
      </c>
      <c r="E15" s="106">
        <f>'Tables 7-5 to 7-8 PFBL'!E24</f>
        <v>2.75E-2</v>
      </c>
      <c r="F15" s="174">
        <f t="shared" si="3"/>
        <v>3601667.9324364215</v>
      </c>
      <c r="G15" s="174">
        <f t="shared" si="1"/>
        <v>2277421.131233925</v>
      </c>
      <c r="H15" s="174"/>
      <c r="I15" s="175">
        <f t="shared" si="4"/>
        <v>207568.45916391979</v>
      </c>
      <c r="J15" s="175">
        <f t="shared" si="5"/>
        <v>207568.45916391973</v>
      </c>
    </row>
    <row r="16" spans="1:10" x14ac:dyDescent="0.25">
      <c r="B16" s="163">
        <f t="shared" si="2"/>
        <v>6</v>
      </c>
      <c r="C16" s="174">
        <f>'Tables 7-5 to 7-8 PFBL'!D109+'Tables 7-5 to 7-8 PFBL'!E109+'Tables 7-5 to 7-8 PFBL'!G109-'Tables 7-5 to 7-8 PFBL'!F109</f>
        <v>285115.67492356524</v>
      </c>
      <c r="D16" s="174">
        <f>'Tables 7-5 to 7-8 PFBL'!L109</f>
        <v>118656.66331922413</v>
      </c>
      <c r="E16" s="106">
        <f>'Tables 7-5 to 7-8 PFBL'!E25</f>
        <v>2.75E-2</v>
      </c>
      <c r="F16" s="174">
        <f t="shared" si="3"/>
        <v>3400539.9543968593</v>
      </c>
      <c r="G16" s="174">
        <f t="shared" si="1"/>
        <v>2224730.8162757149</v>
      </c>
      <c r="H16" s="174"/>
      <c r="I16" s="175">
        <f t="shared" si="4"/>
        <v>270464.9474820483</v>
      </c>
      <c r="J16" s="175">
        <f t="shared" si="5"/>
        <v>270464.9474820483</v>
      </c>
    </row>
    <row r="17" spans="2:12" x14ac:dyDescent="0.25">
      <c r="B17" s="163">
        <f t="shared" si="2"/>
        <v>7</v>
      </c>
      <c r="C17" s="174">
        <f>'Tables 7-5 to 7-8 PFBL'!D110+'Tables 7-5 to 7-8 PFBL'!E110+'Tables 7-5 to 7-8 PFBL'!G110-'Tables 7-5 to 7-8 PFBL'!F110</f>
        <v>273852.54084201675</v>
      </c>
      <c r="D17" s="174">
        <f>'Tables 7-5 to 7-8 PFBL'!L110</f>
        <v>124525.47084130578</v>
      </c>
      <c r="E17" s="106">
        <f>'Tables 7-5 to 7-8 PFBL'!E26</f>
        <v>2.75E-2</v>
      </c>
      <c r="F17" s="174">
        <f t="shared" si="3"/>
        <v>3205045.3756849202</v>
      </c>
      <c r="G17" s="174">
        <f t="shared" si="1"/>
        <v>2165633.7864164892</v>
      </c>
      <c r="H17" s="174"/>
      <c r="I17" s="175">
        <f t="shared" si="4"/>
        <v>323717.24679831276</v>
      </c>
      <c r="J17" s="175">
        <f t="shared" si="5"/>
        <v>323717.24679831276</v>
      </c>
    </row>
    <row r="18" spans="2:12" x14ac:dyDescent="0.25">
      <c r="B18" s="163">
        <f t="shared" si="2"/>
        <v>8</v>
      </c>
      <c r="C18" s="174">
        <f>'Tables 7-5 to 7-8 PFBL'!D111+'Tables 7-5 to 7-8 PFBL'!E111+'Tables 7-5 to 7-8 PFBL'!G111-'Tables 7-5 to 7-8 PFBL'!F111</f>
        <v>259595.1040150905</v>
      </c>
      <c r="D18" s="174">
        <f>'Tables 7-5 to 7-8 PFBL'!L111</f>
        <v>129557.75026832236</v>
      </c>
      <c r="E18" s="106">
        <f>'Tables 7-5 to 7-8 PFBL'!E27</f>
        <v>2.75E-2</v>
      </c>
      <c r="F18" s="174">
        <f t="shared" si="3"/>
        <v>3015591.6479084264</v>
      </c>
      <c r="G18" s="174">
        <f t="shared" si="1"/>
        <v>2098962.6318966704</v>
      </c>
      <c r="H18" s="174"/>
      <c r="I18" s="175">
        <f t="shared" si="4"/>
        <v>365923.78784287302</v>
      </c>
      <c r="J18" s="175">
        <f t="shared" si="5"/>
        <v>365923.78784287296</v>
      </c>
    </row>
    <row r="19" spans="2:12" x14ac:dyDescent="0.25">
      <c r="B19" s="163">
        <f t="shared" si="2"/>
        <v>9</v>
      </c>
      <c r="C19" s="174">
        <f>'Tables 7-5 to 7-8 PFBL'!D112+'Tables 7-5 to 7-8 PFBL'!E112+'Tables 7-5 to 7-8 PFBL'!G112-'Tables 7-5 to 7-8 PFBL'!F112</f>
        <v>243034.56694715971</v>
      </c>
      <c r="D19" s="174">
        <f>'Tables 7-5 to 7-8 PFBL'!L112</f>
        <v>133721.81246407059</v>
      </c>
      <c r="E19" s="106">
        <f>'Tables 7-5 to 7-8 PFBL'!E28</f>
        <v>2.75E-2</v>
      </c>
      <c r="F19" s="174">
        <f t="shared" si="3"/>
        <v>2835380.0896474244</v>
      </c>
      <c r="G19" s="174">
        <f t="shared" si="1"/>
        <v>2025357.0166354056</v>
      </c>
      <c r="H19" s="174"/>
      <c r="I19" s="175">
        <f t="shared" si="4"/>
        <v>395884.45975792292</v>
      </c>
      <c r="J19" s="175">
        <f t="shared" si="5"/>
        <v>395884.45975792257</v>
      </c>
    </row>
    <row r="20" spans="2:12" x14ac:dyDescent="0.25">
      <c r="B20" s="163">
        <f t="shared" si="2"/>
        <v>10</v>
      </c>
      <c r="C20" s="174">
        <f>'Tables 7-5 to 7-8 PFBL'!D113+'Tables 7-5 to 7-8 PFBL'!E113+'Tables 7-5 to 7-8 PFBL'!G113-'Tables 7-5 to 7-8 PFBL'!F113</f>
        <v>228345.7484601062</v>
      </c>
      <c r="D20" s="174">
        <f>'Tables 7-5 to 7-8 PFBL'!L113</f>
        <v>140662.56829123956</v>
      </c>
      <c r="E20" s="106">
        <f>'Tables 7-5 to 7-8 PFBL'!E29</f>
        <v>2.75E-2</v>
      </c>
      <c r="F20" s="174">
        <f t="shared" si="3"/>
        <v>2666999.4136610632</v>
      </c>
      <c r="G20" s="174">
        <f t="shared" si="1"/>
        <v>1945506.3172163251</v>
      </c>
      <c r="H20" s="174"/>
      <c r="I20" s="175">
        <f t="shared" si="4"/>
        <v>412800.92451201426</v>
      </c>
      <c r="J20" s="175">
        <f t="shared" si="5"/>
        <v>412800.92451201391</v>
      </c>
    </row>
    <row r="21" spans="2:12" x14ac:dyDescent="0.25">
      <c r="B21" s="163">
        <f t="shared" si="2"/>
        <v>11</v>
      </c>
      <c r="C21" s="174">
        <f>'Tables 7-5 to 7-8 PFBL'!D114+'Tables 7-5 to 7-8 PFBL'!E114+'Tables 7-5 to 7-8 PFBL'!G114-'Tables 7-5 to 7-8 PFBL'!F114</f>
        <v>227894.68284132949</v>
      </c>
      <c r="D21" s="174">
        <f>'Tables 7-5 to 7-8 PFBL'!L114</f>
        <v>151067.97841300088</v>
      </c>
      <c r="E21" s="106">
        <f>'Tables 7-5 to 7-8 PFBL'!E30</f>
        <v>2.75E-2</v>
      </c>
      <c r="F21" s="174">
        <f t="shared" si="3"/>
        <v>2508877.6890445855</v>
      </c>
      <c r="G21" s="174">
        <f t="shared" si="1"/>
        <v>1856424.1795922595</v>
      </c>
      <c r="H21" s="174"/>
      <c r="I21" s="175">
        <f t="shared" si="4"/>
        <v>414590.20544994064</v>
      </c>
      <c r="J21" s="175">
        <f t="shared" si="5"/>
        <v>414590.20544993994</v>
      </c>
    </row>
    <row r="22" spans="2:12" x14ac:dyDescent="0.25">
      <c r="B22" s="163">
        <f t="shared" si="2"/>
        <v>12</v>
      </c>
      <c r="C22" s="174">
        <f>'Tables 7-5 to 7-8 PFBL'!D115+'Tables 7-5 to 7-8 PFBL'!E115+'Tables 7-5 to 7-8 PFBL'!G115-'Tables 7-5 to 7-8 PFBL'!F115</f>
        <v>245939.69305074817</v>
      </c>
      <c r="D22" s="174">
        <f>'Tables 7-5 to 7-8 PFBL'!L115</f>
        <v>168011.60597074431</v>
      </c>
      <c r="E22" s="106">
        <f>'Tables 7-5 to 7-8 PFBL'!E31</f>
        <v>2.75E-2</v>
      </c>
      <c r="F22" s="174">
        <f t="shared" si="3"/>
        <v>2346864.8427088028</v>
      </c>
      <c r="G22" s="174">
        <f t="shared" si="1"/>
        <v>1754344.7690120973</v>
      </c>
      <c r="H22" s="174"/>
      <c r="I22" s="175">
        <f t="shared" si="4"/>
        <v>405618.41311456682</v>
      </c>
      <c r="J22" s="175">
        <f t="shared" si="5"/>
        <v>405618.41311456624</v>
      </c>
    </row>
    <row r="23" spans="2:12" x14ac:dyDescent="0.25">
      <c r="B23" s="163">
        <f t="shared" si="2"/>
        <v>13</v>
      </c>
      <c r="C23" s="174">
        <f>'Tables 7-5 to 7-8 PFBL'!D116+'Tables 7-5 to 7-8 PFBL'!E116+'Tables 7-5 to 7-8 PFBL'!G116-'Tables 7-5 to 7-8 PFBL'!F116</f>
        <v>264450.34156398871</v>
      </c>
      <c r="D23" s="174">
        <f>'Tables 7-5 to 7-8 PFBL'!L116</f>
        <v>186502.00733406932</v>
      </c>
      <c r="E23" s="106">
        <f>'Tables 7-5 to 7-8 PFBL'!E32</f>
        <v>2.75E-2</v>
      </c>
      <c r="F23" s="174">
        <f t="shared" si="3"/>
        <v>2162105.1967568998</v>
      </c>
      <c r="G23" s="174">
        <f t="shared" si="1"/>
        <v>1632283.1522545922</v>
      </c>
      <c r="H23" s="174"/>
      <c r="I23" s="175">
        <f t="shared" si="4"/>
        <v>389736.83683779393</v>
      </c>
      <c r="J23" s="175">
        <f t="shared" si="5"/>
        <v>389736.83683779347</v>
      </c>
    </row>
    <row r="24" spans="2:12" x14ac:dyDescent="0.25">
      <c r="B24" s="163">
        <f t="shared" si="2"/>
        <v>14</v>
      </c>
      <c r="C24" s="174">
        <f>'Tables 7-5 to 7-8 PFBL'!D117+'Tables 7-5 to 7-8 PFBL'!E117+'Tables 7-5 to 7-8 PFBL'!G117-'Tables 7-5 to 7-8 PFBL'!F117</f>
        <v>279663.40981937374</v>
      </c>
      <c r="D24" s="174">
        <f>'Tables 7-5 to 7-8 PFBL'!L117</f>
        <v>202139.98793646356</v>
      </c>
      <c r="E24" s="106">
        <f>'Tables 7-5 to 7-8 PFBL'!E33</f>
        <v>2.75E-2</v>
      </c>
      <c r="F24" s="174">
        <f t="shared" si="3"/>
        <v>1953501.2167912715</v>
      </c>
      <c r="G24" s="174">
        <f t="shared" si="1"/>
        <v>1488121.9209463201</v>
      </c>
      <c r="H24" s="174"/>
      <c r="I24" s="175">
        <f t="shared" si="4"/>
        <v>365458.81337545114</v>
      </c>
      <c r="J24" s="175">
        <f t="shared" si="5"/>
        <v>365458.81337545044</v>
      </c>
    </row>
    <row r="25" spans="2:12" x14ac:dyDescent="0.25">
      <c r="B25" s="163">
        <f t="shared" si="2"/>
        <v>15</v>
      </c>
      <c r="C25" s="174">
        <f>'Tables 7-5 to 7-8 PFBL'!D118+'Tables 7-5 to 7-8 PFBL'!E118+'Tables 7-5 to 7-8 PFBL'!G118-'Tables 7-5 to 7-8 PFBL'!F118</f>
        <v>291869.65309234516</v>
      </c>
      <c r="D25" s="174">
        <f>'Tables 7-5 to 7-8 PFBL'!L118</f>
        <v>215166.7406616564</v>
      </c>
      <c r="E25" s="106">
        <f>'Tables 7-5 to 7-8 PFBL'!E34</f>
        <v>2.75E-2</v>
      </c>
      <c r="F25" s="174">
        <f t="shared" si="3"/>
        <v>1723739.7981024887</v>
      </c>
      <c r="G25" s="174">
        <f t="shared" si="1"/>
        <v>1324144.711235696</v>
      </c>
      <c r="H25" s="174"/>
      <c r="I25" s="175">
        <f t="shared" si="4"/>
        <v>333523.83946579974</v>
      </c>
      <c r="J25" s="175">
        <f t="shared" si="5"/>
        <v>333523.83946579904</v>
      </c>
    </row>
    <row r="26" spans="2:12" x14ac:dyDescent="0.25">
      <c r="B26" s="163">
        <f t="shared" si="2"/>
        <v>16</v>
      </c>
      <c r="C26" s="174">
        <f>'Tables 7-5 to 7-8 PFBL'!D119+'Tables 7-5 to 7-8 PFBL'!E119+'Tables 7-5 to 7-8 PFBL'!G119-'Tables 7-5 to 7-8 PFBL'!F119</f>
        <v>303346.41302624281</v>
      </c>
      <c r="D26" s="174">
        <f>'Tables 7-5 to 7-8 PFBL'!L119</f>
        <v>228175.58189638777</v>
      </c>
      <c r="E26" s="106">
        <f>'Tables 7-5 to 7-8 PFBL'!E35</f>
        <v>2.75E-2</v>
      </c>
      <c r="F26" s="174">
        <f t="shared" si="3"/>
        <v>1475286.9995550406</v>
      </c>
      <c r="G26" s="174">
        <f t="shared" si="1"/>
        <v>1142453.4724713834</v>
      </c>
      <c r="H26" s="174"/>
      <c r="I26" s="175">
        <f t="shared" si="4"/>
        <v>294616.63815405266</v>
      </c>
      <c r="J26" s="175">
        <f t="shared" si="5"/>
        <v>294616.63815405185</v>
      </c>
    </row>
    <row r="27" spans="2:12" x14ac:dyDescent="0.25">
      <c r="B27" s="163">
        <f t="shared" si="2"/>
        <v>17</v>
      </c>
      <c r="C27" s="174">
        <f>'Tables 7-5 to 7-8 PFBL'!D120+'Tables 7-5 to 7-8 PFBL'!E120+'Tables 7-5 to 7-8 PFBL'!G120-'Tables 7-5 to 7-8 PFBL'!F120</f>
        <v>309233.68374645949</v>
      </c>
      <c r="D27" s="174">
        <f>'Tables 7-5 to 7-8 PFBL'!L120</f>
        <v>235402.2022042335</v>
      </c>
      <c r="E27" s="106">
        <f>'Tables 7-5 to 7-8 PFBL'!E36</f>
        <v>2.75E-2</v>
      </c>
      <c r="F27" s="174">
        <f t="shared" si="3"/>
        <v>1208368.2539110247</v>
      </c>
      <c r="G27" s="174">
        <f t="shared" si="1"/>
        <v>942579.2249575546</v>
      </c>
      <c r="H27" s="174"/>
      <c r="I27" s="175">
        <f t="shared" si="4"/>
        <v>248138.67515640985</v>
      </c>
      <c r="J27" s="175">
        <f t="shared" si="5"/>
        <v>248138.67515640892</v>
      </c>
    </row>
    <row r="28" spans="2:12" x14ac:dyDescent="0.25">
      <c r="B28" s="163">
        <f t="shared" si="2"/>
        <v>18</v>
      </c>
      <c r="C28" s="174">
        <f>'Tables 7-5 to 7-8 PFBL'!D121+'Tables 7-5 to 7-8 PFBL'!E121+'Tables 7-5 to 7-8 PFBL'!G121-'Tables 7-5 to 7-8 PFBL'!F121</f>
        <v>315710.28636680113</v>
      </c>
      <c r="D28" s="174">
        <f>'Tables 7-5 to 7-8 PFBL'!L121</f>
        <v>243965.2620809378</v>
      </c>
      <c r="E28" s="106">
        <f>'Tables 7-5 to 7-8 PFBL'!E37</f>
        <v>2.75E-2</v>
      </c>
      <c r="F28" s="174">
        <f t="shared" si="3"/>
        <v>928141.57107697974</v>
      </c>
      <c r="G28" s="174">
        <f t="shared" si="1"/>
        <v>729883.12320667319</v>
      </c>
      <c r="H28" s="174"/>
      <c r="I28" s="175">
        <f t="shared" si="4"/>
        <v>196486.83376769628</v>
      </c>
      <c r="J28" s="175">
        <f t="shared" si="5"/>
        <v>196486.83376769527</v>
      </c>
    </row>
    <row r="29" spans="2:12" x14ac:dyDescent="0.25">
      <c r="B29" s="163">
        <f t="shared" si="2"/>
        <v>19</v>
      </c>
      <c r="C29" s="174">
        <f>'Tables 7-5 to 7-8 PFBL'!D122+'Tables 7-5 to 7-8 PFBL'!E122+'Tables 7-5 to 7-8 PFBL'!G122-'Tables 7-5 to 7-8 PFBL'!F122</f>
        <v>322255.41102474928</v>
      </c>
      <c r="D29" s="174">
        <f>'Tables 7-5 to 7-8 PFBL'!L122</f>
        <v>253271.82311808746</v>
      </c>
      <c r="E29" s="106">
        <f>'Tables 7-5 to 7-8 PFBL'!E38</f>
        <v>2.75E-2</v>
      </c>
      <c r="F29" s="174">
        <f t="shared" si="3"/>
        <v>633643.60252361116</v>
      </c>
      <c r="G29" s="174">
        <f t="shared" si="1"/>
        <v>502657.875241776</v>
      </c>
      <c r="H29" s="174"/>
      <c r="I29" s="175">
        <f t="shared" si="4"/>
        <v>138507.45148620871</v>
      </c>
      <c r="J29" s="175">
        <f t="shared" si="5"/>
        <v>138507.45148620778</v>
      </c>
    </row>
    <row r="30" spans="2:12" ht="15.75" thickBot="1" x14ac:dyDescent="0.3">
      <c r="B30" s="95">
        <f t="shared" si="2"/>
        <v>20</v>
      </c>
      <c r="C30" s="176">
        <f>'Tables 7-5 to 7-8 PFBL'!D123+'Tables 7-5 to 7-8 PFBL'!E123+'Tables 7-5 to 7-8 PFBL'!G123-'Tables 7-5 to 7-8 PFBL'!F123</f>
        <v>328842.8484308222</v>
      </c>
      <c r="D30" s="176">
        <f>'Tables 7-5 to 7-8 PFBL'!L123</f>
        <v>263297.61826297001</v>
      </c>
      <c r="E30" s="114">
        <f>'Tables 7-5 to 7-8 PFBL'!E39</f>
        <v>2.75E-2</v>
      </c>
      <c r="F30" s="176">
        <f t="shared" si="3"/>
        <v>324412.43006792426</v>
      </c>
      <c r="G30" s="176">
        <f t="shared" si="1"/>
        <v>259750.27457456087</v>
      </c>
      <c r="H30" s="176"/>
      <c r="I30" s="177">
        <f t="shared" si="4"/>
        <v>73312.782883155451</v>
      </c>
      <c r="J30" s="177">
        <f t="shared" si="5"/>
        <v>73312.782883154447</v>
      </c>
      <c r="L30" s="90"/>
    </row>
  </sheetData>
  <mergeCells count="2">
    <mergeCell ref="B6:I6"/>
    <mergeCell ref="B7:I7"/>
  </mergeCells>
  <pageMargins left="0.7" right="0.7" top="0.75" bottom="0.75" header="0.3" footer="0.3"/>
  <pageSetup orientation="portrait"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2</vt:i4>
      </vt:variant>
    </vt:vector>
  </HeadingPairs>
  <TitlesOfParts>
    <vt:vector size="28" baseType="lpstr">
      <vt:lpstr>Disclaimer</vt:lpstr>
      <vt:lpstr>Actuarial balances</vt:lpstr>
      <vt:lpstr>GAAP Equity Rollforward</vt:lpstr>
      <vt:lpstr>Table 7-1-UL Unit Values</vt:lpstr>
      <vt:lpstr>Table 7-2-Persistency Bonus</vt:lpstr>
      <vt:lpstr>Table 7-3-Unearned Loads</vt:lpstr>
      <vt:lpstr>Table 7-4-URR</vt:lpstr>
      <vt:lpstr>Tables 7-5 to 7-8 PFBL</vt:lpstr>
      <vt:lpstr>Table 7-9-PFBLReserve</vt:lpstr>
      <vt:lpstr>Table 7-10-OptionBudget</vt:lpstr>
      <vt:lpstr>Table 7-10-Book Format</vt:lpstr>
      <vt:lpstr>Table 7-11-IULHostVEDInputs</vt:lpstr>
      <vt:lpstr>Table 12-IUL Census</vt:lpstr>
      <vt:lpstr>Tables7-13-23 - IULHostVEDCalcs</vt:lpstr>
      <vt:lpstr>Table 7-24-IULHostVEDRecap</vt:lpstr>
      <vt:lpstr>Table 7-25-Sales Inducement</vt:lpstr>
      <vt:lpstr>Tables 26a,b-MasterInputs</vt:lpstr>
      <vt:lpstr>Table 7-27-TradFormatIncome</vt:lpstr>
      <vt:lpstr>Table 7-28-IULTradFormatIncome</vt:lpstr>
      <vt:lpstr>Table 7-29-GAAPFormatIncome</vt:lpstr>
      <vt:lpstr>Table7-30 - IULGAAPFormatIncome</vt:lpstr>
      <vt:lpstr>Table7- 31UL Asset Rollforward</vt:lpstr>
      <vt:lpstr>Table 7-32 IUL - Assets Rollfwd</vt:lpstr>
      <vt:lpstr>Table 7-33-UL Balance sheet</vt:lpstr>
      <vt:lpstr>Table 7-34 IUL - Bal Sheet</vt:lpstr>
      <vt:lpstr>IDX AV No Decrements</vt:lpstr>
      <vt:lpstr>'Table 7-10-Book Format'!Print_Area</vt:lpstr>
      <vt:lpstr>'Table 7-10-OptionBudget'!Print_Area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2024-11-18T20:46:12Z</dcterms:created>
  <dcterms:modified xsi:type="dcterms:W3CDTF">2024-11-18T20:46:18Z</dcterms:modified>
  <cp:category/>
  <cp:contentStatus/>
</cp:coreProperties>
</file>