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style3.xml" ContentType="application/vnd.ms-office.chartstyle+xml"/>
  <Override PartName="/xl/charts/colors3.xml" ContentType="application/vnd.ms-office.chartcolorstyle+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charts/chart9.xml" ContentType="application/vnd.openxmlformats-officedocument.drawingml.chart+xml"/>
  <Override PartName="/xl/charts/chart10.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xr:revisionPtr revIDLastSave="11" documentId="13_ncr:1_{BDD11B73-4417-454D-9987-6F597AA75D05}" xr6:coauthVersionLast="47" xr6:coauthVersionMax="47" xr10:uidLastSave="{579BA571-1DBA-4791-8775-2E783D84AE34}"/>
  <bookViews>
    <workbookView xWindow="-120" yWindow="-120" windowWidth="29040" windowHeight="15720" xr2:uid="{00000000-000D-0000-FFFF-FFFF00000000}"/>
  </bookViews>
  <sheets>
    <sheet name="Disclaimer" sheetId="17" r:id="rId1"/>
    <sheet name="Base Case" sheetId="1" r:id="rId2"/>
    <sheet name="Claims Shock" sheetId="13" r:id="rId3"/>
    <sheet name="Update Assumptions" sheetId="14" r:id="rId4"/>
    <sheet name="Assume Rate Increase" sheetId="15" r:id="rId5"/>
    <sheet name="Actual Rate Increase" sheetId="16" r:id="rId6"/>
    <sheet name="Charts_DLR" sheetId="9" r:id="rId7"/>
    <sheet name="Charts_RI" sheetId="12" r:id="rId8"/>
  </sheets>
  <definedNames>
    <definedName name="ClaimTerm" localSheetId="5">'Actual Rate Increase'!$E$27</definedName>
    <definedName name="ClaimTerm" localSheetId="4">'Assume Rate Increase'!$E$27</definedName>
    <definedName name="ClaimTerm" localSheetId="2">'Claims Shock'!$E$27</definedName>
    <definedName name="ClaimTerm" localSheetId="3">'Update Assumptions'!$E$27</definedName>
    <definedName name="ClaimTerm">'Base Case'!$E$27</definedName>
    <definedName name="DiscountRate" localSheetId="5">'Actual Rate Increase'!$E$25</definedName>
    <definedName name="DiscountRate" localSheetId="4">'Assume Rate Increase'!$E$25</definedName>
    <definedName name="DiscountRate" localSheetId="2">'Claims Shock'!$E$25</definedName>
    <definedName name="DiscountRate" localSheetId="3">'Update Assumptions'!$E$25</definedName>
    <definedName name="DiscountRate">'Base Case'!$E$25</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NetPremiumRatio" localSheetId="5">'Actual Rate Increase'!$E$31</definedName>
    <definedName name="NetPremiumRatio" localSheetId="4">'Assume Rate Increase'!$E$31</definedName>
    <definedName name="NetPremiumRatio" localSheetId="2">'Claims Shock'!$E$31</definedName>
    <definedName name="NetPremiumRatio" localSheetId="3">'Update Assumptions'!$E$31</definedName>
    <definedName name="NetPremiumRatio">'Base Case'!$E$31</definedName>
    <definedName name="PolicyTerm" localSheetId="5">'Actual Rate Increase'!$E$26</definedName>
    <definedName name="PolicyTerm" localSheetId="4">'Assume Rate Increase'!$E$26</definedName>
    <definedName name="PolicyTerm" localSheetId="2">'Claims Shock'!$E$26</definedName>
    <definedName name="PolicyTerm" localSheetId="3">'Update Assumptions'!$E$26</definedName>
    <definedName name="PolicyTerm">'Base Case'!$E$26</definedName>
    <definedName name="PricingLR" localSheetId="5">'Actual Rate Increase'!$E$24</definedName>
    <definedName name="PricingLR" localSheetId="4">'Assume Rate Increase'!$E$24</definedName>
    <definedName name="PricingLR" localSheetId="2">'Claims Shock'!$E$24</definedName>
    <definedName name="PricingLR" localSheetId="3">'Update Assumptions'!$E$24</definedName>
    <definedName name="PricingLR">'Base Case'!$E$24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78" i="1" l="1"/>
  <c r="AC40" i="1"/>
  <c r="AA40" i="1"/>
  <c r="Z40" i="1"/>
  <c r="Y41" i="1"/>
  <c r="Y42" i="1"/>
  <c r="Y43" i="1"/>
  <c r="Y44" i="1"/>
  <c r="Y45" i="1"/>
  <c r="Y46" i="1"/>
  <c r="Y47" i="1"/>
  <c r="Y48" i="1"/>
  <c r="Y49" i="1"/>
  <c r="Y50" i="1"/>
  <c r="Y51" i="1"/>
  <c r="Y52" i="1"/>
  <c r="Y53" i="1"/>
  <c r="Y54" i="1"/>
  <c r="Y55" i="1"/>
  <c r="X41" i="1"/>
  <c r="AC41" i="1" s="1"/>
  <c r="V39" i="16"/>
  <c r="U39" i="16"/>
  <c r="T39" i="16"/>
  <c r="V39" i="15"/>
  <c r="U39" i="15"/>
  <c r="T39" i="15"/>
  <c r="V39" i="14"/>
  <c r="U39" i="14"/>
  <c r="T39" i="14"/>
  <c r="V39" i="13"/>
  <c r="U39" i="13"/>
  <c r="T39" i="13"/>
  <c r="U73" i="13"/>
  <c r="U73" i="14" s="1"/>
  <c r="U73" i="15" s="1"/>
  <c r="U73" i="16" s="1"/>
  <c r="T72" i="13"/>
  <c r="T72" i="14" s="1"/>
  <c r="T72" i="15" s="1"/>
  <c r="T72" i="16" s="1"/>
  <c r="S71" i="13"/>
  <c r="S71" i="14" s="1"/>
  <c r="S71" i="15" s="1"/>
  <c r="S71" i="16" s="1"/>
  <c r="E97" i="16" l="1"/>
  <c r="E98" i="16" s="1"/>
  <c r="E99" i="16" s="1"/>
  <c r="E100" i="16" s="1"/>
  <c r="E101" i="16" s="1"/>
  <c r="E102" i="16" s="1"/>
  <c r="E103" i="16" s="1"/>
  <c r="E104" i="16" s="1"/>
  <c r="E105" i="16" s="1"/>
  <c r="E106" i="16" s="1"/>
  <c r="E107" i="16" s="1"/>
  <c r="E108" i="16" s="1"/>
  <c r="E109" i="16" s="1"/>
  <c r="E110" i="16" s="1"/>
  <c r="H95" i="16"/>
  <c r="I95" i="16" s="1"/>
  <c r="J95" i="16" s="1"/>
  <c r="K95" i="16" s="1"/>
  <c r="L95" i="16" s="1"/>
  <c r="M95" i="16" s="1"/>
  <c r="N95" i="16" s="1"/>
  <c r="O95" i="16" s="1"/>
  <c r="P95" i="16" s="1"/>
  <c r="Q95" i="16" s="1"/>
  <c r="R95" i="16" s="1"/>
  <c r="S95" i="16" s="1"/>
  <c r="T95" i="16" s="1"/>
  <c r="U95" i="16" s="1"/>
  <c r="E78" i="16"/>
  <c r="E79" i="16" s="1"/>
  <c r="E80" i="16" s="1"/>
  <c r="E81" i="16" s="1"/>
  <c r="E82" i="16" s="1"/>
  <c r="E83" i="16" s="1"/>
  <c r="E84" i="16" s="1"/>
  <c r="E85" i="16" s="1"/>
  <c r="E86" i="16" s="1"/>
  <c r="E87" i="16" s="1"/>
  <c r="E88" i="16" s="1"/>
  <c r="E89" i="16" s="1"/>
  <c r="E90" i="16" s="1"/>
  <c r="E91" i="16" s="1"/>
  <c r="U77" i="16"/>
  <c r="U96" i="16" s="1"/>
  <c r="T77" i="16"/>
  <c r="S77" i="16"/>
  <c r="R77" i="16"/>
  <c r="R96" i="16" s="1"/>
  <c r="Q77" i="16"/>
  <c r="Q96" i="16" s="1"/>
  <c r="P77" i="16"/>
  <c r="O77" i="16"/>
  <c r="N77" i="16"/>
  <c r="N96" i="16" s="1"/>
  <c r="M77" i="16"/>
  <c r="L77" i="16"/>
  <c r="H76" i="16"/>
  <c r="I76" i="16" s="1"/>
  <c r="J76" i="16" s="1"/>
  <c r="K76" i="16" s="1"/>
  <c r="L76" i="16" s="1"/>
  <c r="M76" i="16" s="1"/>
  <c r="N76" i="16" s="1"/>
  <c r="O76" i="16" s="1"/>
  <c r="P76" i="16" s="1"/>
  <c r="Q76" i="16" s="1"/>
  <c r="R76" i="16" s="1"/>
  <c r="S76" i="16" s="1"/>
  <c r="T76" i="16" s="1"/>
  <c r="U76" i="16" s="1"/>
  <c r="U72" i="16"/>
  <c r="T71" i="16"/>
  <c r="S70" i="16"/>
  <c r="R69" i="16"/>
  <c r="S69" i="16" s="1"/>
  <c r="Q68" i="16"/>
  <c r="P67" i="16"/>
  <c r="Q67" i="16" s="1"/>
  <c r="R67" i="16" s="1"/>
  <c r="O66" i="16"/>
  <c r="N65" i="16"/>
  <c r="O65" i="16" s="1"/>
  <c r="P65" i="16" s="1"/>
  <c r="M64" i="16"/>
  <c r="K63" i="16"/>
  <c r="J62" i="16"/>
  <c r="I61" i="16"/>
  <c r="E61" i="16"/>
  <c r="H60" i="16"/>
  <c r="E60" i="16"/>
  <c r="G59" i="16"/>
  <c r="G77" i="16" s="1"/>
  <c r="H58" i="16"/>
  <c r="I58" i="16" s="1"/>
  <c r="J58" i="16" s="1"/>
  <c r="K58" i="16" s="1"/>
  <c r="L58" i="16" s="1"/>
  <c r="M58" i="16" s="1"/>
  <c r="N58" i="16" s="1"/>
  <c r="O58" i="16" s="1"/>
  <c r="P58" i="16" s="1"/>
  <c r="Q58" i="16" s="1"/>
  <c r="R58" i="16" s="1"/>
  <c r="S58" i="16" s="1"/>
  <c r="T58" i="16" s="1"/>
  <c r="U58" i="16" s="1"/>
  <c r="F42" i="16"/>
  <c r="F43" i="16" s="1"/>
  <c r="E42" i="16"/>
  <c r="K63" i="15"/>
  <c r="L63" i="15" s="1"/>
  <c r="M63" i="15" s="1"/>
  <c r="N63" i="15" s="1"/>
  <c r="G24" i="15"/>
  <c r="E97" i="15"/>
  <c r="E98" i="15" s="1"/>
  <c r="E99" i="15" s="1"/>
  <c r="E100" i="15" s="1"/>
  <c r="E101" i="15" s="1"/>
  <c r="E102" i="15" s="1"/>
  <c r="E103" i="15" s="1"/>
  <c r="E104" i="15" s="1"/>
  <c r="E105" i="15" s="1"/>
  <c r="E106" i="15" s="1"/>
  <c r="E107" i="15" s="1"/>
  <c r="E108" i="15" s="1"/>
  <c r="E109" i="15" s="1"/>
  <c r="E110" i="15" s="1"/>
  <c r="H95" i="15"/>
  <c r="I95" i="15" s="1"/>
  <c r="J95" i="15" s="1"/>
  <c r="K95" i="15" s="1"/>
  <c r="L95" i="15" s="1"/>
  <c r="M95" i="15" s="1"/>
  <c r="N95" i="15" s="1"/>
  <c r="O95" i="15" s="1"/>
  <c r="P95" i="15" s="1"/>
  <c r="Q95" i="15" s="1"/>
  <c r="R95" i="15" s="1"/>
  <c r="S95" i="15" s="1"/>
  <c r="T95" i="15" s="1"/>
  <c r="U95" i="15" s="1"/>
  <c r="E78" i="15"/>
  <c r="E79" i="15" s="1"/>
  <c r="E80" i="15" s="1"/>
  <c r="E81" i="15" s="1"/>
  <c r="E82" i="15" s="1"/>
  <c r="E83" i="15" s="1"/>
  <c r="E84" i="15" s="1"/>
  <c r="E85" i="15" s="1"/>
  <c r="E86" i="15" s="1"/>
  <c r="E87" i="15" s="1"/>
  <c r="E88" i="15" s="1"/>
  <c r="E89" i="15" s="1"/>
  <c r="E90" i="15" s="1"/>
  <c r="E91" i="15" s="1"/>
  <c r="U77" i="15"/>
  <c r="U96" i="15" s="1"/>
  <c r="T77" i="15"/>
  <c r="T96" i="15" s="1"/>
  <c r="S77" i="15"/>
  <c r="R77" i="15"/>
  <c r="Q77" i="15"/>
  <c r="P77" i="15"/>
  <c r="O77" i="15"/>
  <c r="O96" i="15" s="1"/>
  <c r="N77" i="15"/>
  <c r="M77" i="15"/>
  <c r="M96" i="15" s="1"/>
  <c r="L77" i="15"/>
  <c r="H76" i="15"/>
  <c r="I76" i="15" s="1"/>
  <c r="J76" i="15" s="1"/>
  <c r="K76" i="15" s="1"/>
  <c r="L76" i="15" s="1"/>
  <c r="M76" i="15" s="1"/>
  <c r="N76" i="15" s="1"/>
  <c r="O76" i="15" s="1"/>
  <c r="P76" i="15" s="1"/>
  <c r="Q76" i="15" s="1"/>
  <c r="R76" i="15" s="1"/>
  <c r="S76" i="15" s="1"/>
  <c r="T76" i="15" s="1"/>
  <c r="U76" i="15" s="1"/>
  <c r="U72" i="15"/>
  <c r="T71" i="15"/>
  <c r="S70" i="15"/>
  <c r="R69" i="15"/>
  <c r="S69" i="15" s="1"/>
  <c r="T69" i="15" s="1"/>
  <c r="Q68" i="15"/>
  <c r="R68" i="15" s="1"/>
  <c r="P67" i="15"/>
  <c r="Q67" i="15" s="1"/>
  <c r="R67" i="15" s="1"/>
  <c r="O66" i="15"/>
  <c r="N65" i="15"/>
  <c r="O65" i="15" s="1"/>
  <c r="P65" i="15" s="1"/>
  <c r="M64" i="15"/>
  <c r="N64" i="15" s="1"/>
  <c r="J62" i="15"/>
  <c r="I61" i="15"/>
  <c r="H60" i="15"/>
  <c r="E60" i="15"/>
  <c r="E61" i="15" s="1"/>
  <c r="G59" i="15"/>
  <c r="G77" i="15" s="1"/>
  <c r="H58" i="15"/>
  <c r="I58" i="15" s="1"/>
  <c r="J58" i="15" s="1"/>
  <c r="K58" i="15" s="1"/>
  <c r="L58" i="15" s="1"/>
  <c r="M58" i="15" s="1"/>
  <c r="N58" i="15" s="1"/>
  <c r="O58" i="15" s="1"/>
  <c r="P58" i="15" s="1"/>
  <c r="Q58" i="15" s="1"/>
  <c r="R58" i="15" s="1"/>
  <c r="S58" i="15" s="1"/>
  <c r="T58" i="15" s="1"/>
  <c r="U58" i="15" s="1"/>
  <c r="F42" i="15"/>
  <c r="E42" i="15"/>
  <c r="I61" i="14"/>
  <c r="H60" i="14"/>
  <c r="G59" i="14"/>
  <c r="G77" i="14" s="1"/>
  <c r="J62" i="14"/>
  <c r="K62" i="14" s="1"/>
  <c r="K62" i="15" s="1"/>
  <c r="E97" i="14"/>
  <c r="E98" i="14" s="1"/>
  <c r="E99" i="14" s="1"/>
  <c r="E100" i="14" s="1"/>
  <c r="E101" i="14" s="1"/>
  <c r="E102" i="14" s="1"/>
  <c r="E103" i="14" s="1"/>
  <c r="E104" i="14" s="1"/>
  <c r="E105" i="14" s="1"/>
  <c r="E106" i="14" s="1"/>
  <c r="E107" i="14" s="1"/>
  <c r="E108" i="14" s="1"/>
  <c r="E109" i="14" s="1"/>
  <c r="E110" i="14" s="1"/>
  <c r="H95" i="14"/>
  <c r="I95" i="14" s="1"/>
  <c r="J95" i="14" s="1"/>
  <c r="K95" i="14" s="1"/>
  <c r="L95" i="14" s="1"/>
  <c r="M95" i="14" s="1"/>
  <c r="N95" i="14" s="1"/>
  <c r="O95" i="14" s="1"/>
  <c r="P95" i="14" s="1"/>
  <c r="Q95" i="14" s="1"/>
  <c r="R95" i="14" s="1"/>
  <c r="S95" i="14" s="1"/>
  <c r="T95" i="14" s="1"/>
  <c r="U95" i="14" s="1"/>
  <c r="E78" i="14"/>
  <c r="E79" i="14" s="1"/>
  <c r="E80" i="14" s="1"/>
  <c r="E81" i="14" s="1"/>
  <c r="E82" i="14" s="1"/>
  <c r="E83" i="14" s="1"/>
  <c r="E84" i="14" s="1"/>
  <c r="E85" i="14" s="1"/>
  <c r="E86" i="14" s="1"/>
  <c r="E87" i="14" s="1"/>
  <c r="E88" i="14" s="1"/>
  <c r="E89" i="14" s="1"/>
  <c r="E90" i="14" s="1"/>
  <c r="E91" i="14" s="1"/>
  <c r="U77" i="14"/>
  <c r="T77" i="14"/>
  <c r="S77" i="14"/>
  <c r="R77" i="14"/>
  <c r="Q77" i="14"/>
  <c r="P77" i="14"/>
  <c r="O77" i="14"/>
  <c r="N77" i="14"/>
  <c r="M77" i="14"/>
  <c r="L77" i="14"/>
  <c r="H76" i="14"/>
  <c r="I76" i="14" s="1"/>
  <c r="J76" i="14" s="1"/>
  <c r="K76" i="14" s="1"/>
  <c r="L76" i="14" s="1"/>
  <c r="M76" i="14" s="1"/>
  <c r="N76" i="14" s="1"/>
  <c r="O76" i="14" s="1"/>
  <c r="P76" i="14" s="1"/>
  <c r="Q76" i="14" s="1"/>
  <c r="R76" i="14" s="1"/>
  <c r="S76" i="14" s="1"/>
  <c r="T76" i="14" s="1"/>
  <c r="U76" i="14" s="1"/>
  <c r="U72" i="14"/>
  <c r="T71" i="14"/>
  <c r="S70" i="14"/>
  <c r="T70" i="14" s="1"/>
  <c r="R69" i="14"/>
  <c r="S69" i="14" s="1"/>
  <c r="Q68" i="14"/>
  <c r="R68" i="14" s="1"/>
  <c r="P67" i="14"/>
  <c r="Q67" i="14" s="1"/>
  <c r="O66" i="14"/>
  <c r="P66" i="14" s="1"/>
  <c r="N65" i="14"/>
  <c r="O65" i="14" s="1"/>
  <c r="M64" i="14"/>
  <c r="N64" i="14" s="1"/>
  <c r="L63" i="14"/>
  <c r="M63" i="14" s="1"/>
  <c r="E60" i="14"/>
  <c r="E61" i="14" s="1"/>
  <c r="H58" i="14"/>
  <c r="I58" i="14" s="1"/>
  <c r="J58" i="14" s="1"/>
  <c r="K58" i="14" s="1"/>
  <c r="L58" i="14" s="1"/>
  <c r="M58" i="14" s="1"/>
  <c r="N58" i="14" s="1"/>
  <c r="O58" i="14" s="1"/>
  <c r="P58" i="14" s="1"/>
  <c r="Q58" i="14" s="1"/>
  <c r="R58" i="14" s="1"/>
  <c r="S58" i="14" s="1"/>
  <c r="T58" i="14" s="1"/>
  <c r="U58" i="14" s="1"/>
  <c r="F42" i="14"/>
  <c r="E42" i="14"/>
  <c r="E43" i="14" s="1"/>
  <c r="J61" i="13"/>
  <c r="J61" i="15" s="1"/>
  <c r="E97" i="13"/>
  <c r="E98" i="13" s="1"/>
  <c r="E99" i="13" s="1"/>
  <c r="E100" i="13" s="1"/>
  <c r="E101" i="13" s="1"/>
  <c r="E102" i="13" s="1"/>
  <c r="E103" i="13" s="1"/>
  <c r="E104" i="13" s="1"/>
  <c r="E105" i="13" s="1"/>
  <c r="E106" i="13" s="1"/>
  <c r="E107" i="13" s="1"/>
  <c r="E108" i="13" s="1"/>
  <c r="E109" i="13" s="1"/>
  <c r="E110" i="13" s="1"/>
  <c r="H95" i="13"/>
  <c r="I95" i="13" s="1"/>
  <c r="J95" i="13" s="1"/>
  <c r="K95" i="13" s="1"/>
  <c r="L95" i="13" s="1"/>
  <c r="M95" i="13" s="1"/>
  <c r="N95" i="13" s="1"/>
  <c r="O95" i="13" s="1"/>
  <c r="P95" i="13" s="1"/>
  <c r="Q95" i="13" s="1"/>
  <c r="R95" i="13" s="1"/>
  <c r="S95" i="13" s="1"/>
  <c r="T95" i="13" s="1"/>
  <c r="U95" i="13" s="1"/>
  <c r="E78" i="13"/>
  <c r="E79" i="13" s="1"/>
  <c r="E80" i="13" s="1"/>
  <c r="E81" i="13" s="1"/>
  <c r="E82" i="13" s="1"/>
  <c r="E83" i="13" s="1"/>
  <c r="E84" i="13" s="1"/>
  <c r="E85" i="13" s="1"/>
  <c r="E86" i="13" s="1"/>
  <c r="E87" i="13" s="1"/>
  <c r="E88" i="13" s="1"/>
  <c r="E89" i="13" s="1"/>
  <c r="E90" i="13" s="1"/>
  <c r="E91" i="13" s="1"/>
  <c r="U77" i="13"/>
  <c r="T77" i="13"/>
  <c r="T96" i="13" s="1"/>
  <c r="S77" i="13"/>
  <c r="R77" i="13"/>
  <c r="Q77" i="13"/>
  <c r="P77" i="13"/>
  <c r="O77" i="13"/>
  <c r="O96" i="13" s="1"/>
  <c r="N77" i="13"/>
  <c r="M77" i="13"/>
  <c r="L77" i="13"/>
  <c r="L96" i="13" s="1"/>
  <c r="G77" i="13"/>
  <c r="H76" i="13"/>
  <c r="I76" i="13" s="1"/>
  <c r="J76" i="13" s="1"/>
  <c r="K76" i="13" s="1"/>
  <c r="L76" i="13" s="1"/>
  <c r="M76" i="13" s="1"/>
  <c r="N76" i="13" s="1"/>
  <c r="O76" i="13" s="1"/>
  <c r="P76" i="13" s="1"/>
  <c r="Q76" i="13" s="1"/>
  <c r="R76" i="13" s="1"/>
  <c r="S76" i="13" s="1"/>
  <c r="T76" i="13" s="1"/>
  <c r="U76" i="13" s="1"/>
  <c r="U72" i="13"/>
  <c r="T71" i="13"/>
  <c r="S70" i="13"/>
  <c r="T70" i="13" s="1"/>
  <c r="R69" i="13"/>
  <c r="S69" i="13" s="1"/>
  <c r="Q68" i="13"/>
  <c r="R68" i="13" s="1"/>
  <c r="P67" i="13"/>
  <c r="Q67" i="13" s="1"/>
  <c r="O66" i="13"/>
  <c r="P66" i="13" s="1"/>
  <c r="N65" i="13"/>
  <c r="O65" i="13" s="1"/>
  <c r="M64" i="13"/>
  <c r="N64" i="13" s="1"/>
  <c r="L63" i="13"/>
  <c r="M63" i="13" s="1"/>
  <c r="K62" i="13"/>
  <c r="L62" i="13" s="1"/>
  <c r="I60" i="13"/>
  <c r="J60" i="13" s="1"/>
  <c r="J60" i="16" s="1"/>
  <c r="E60" i="13"/>
  <c r="E61" i="13" s="1"/>
  <c r="E62" i="13" s="1"/>
  <c r="H59" i="13"/>
  <c r="H77" i="13" s="1"/>
  <c r="H58" i="13"/>
  <c r="I58" i="13" s="1"/>
  <c r="J58" i="13" s="1"/>
  <c r="K58" i="13" s="1"/>
  <c r="L58" i="13" s="1"/>
  <c r="M58" i="13" s="1"/>
  <c r="N58" i="13" s="1"/>
  <c r="O58" i="13" s="1"/>
  <c r="P58" i="13" s="1"/>
  <c r="Q58" i="13" s="1"/>
  <c r="R58" i="13" s="1"/>
  <c r="S58" i="13" s="1"/>
  <c r="T58" i="13" s="1"/>
  <c r="U58" i="13" s="1"/>
  <c r="F42" i="13"/>
  <c r="R78" i="13" s="1"/>
  <c r="R97" i="13" s="1"/>
  <c r="E42" i="13"/>
  <c r="E43" i="13" s="1"/>
  <c r="S71" i="1"/>
  <c r="R70" i="1"/>
  <c r="S70" i="1" s="1"/>
  <c r="T72" i="1"/>
  <c r="U72" i="1" s="1"/>
  <c r="F42" i="1"/>
  <c r="F43" i="1" l="1"/>
  <c r="N79" i="1"/>
  <c r="J78" i="16"/>
  <c r="J61" i="16"/>
  <c r="J79" i="16" s="1"/>
  <c r="K61" i="13"/>
  <c r="J61" i="14"/>
  <c r="K61" i="14" s="1"/>
  <c r="K61" i="16" s="1"/>
  <c r="L61" i="16" s="1"/>
  <c r="V42" i="16"/>
  <c r="V43" i="14"/>
  <c r="H34" i="14"/>
  <c r="V42" i="14"/>
  <c r="G34" i="14"/>
  <c r="F34" i="14"/>
  <c r="T79" i="16"/>
  <c r="T98" i="16" s="1"/>
  <c r="P79" i="16"/>
  <c r="P98" i="16" s="1"/>
  <c r="H79" i="16"/>
  <c r="S79" i="16"/>
  <c r="S98" i="16" s="1"/>
  <c r="O79" i="16"/>
  <c r="O98" i="16" s="1"/>
  <c r="G79" i="16"/>
  <c r="N79" i="16"/>
  <c r="N98" i="16" s="1"/>
  <c r="U79" i="16"/>
  <c r="U98" i="16" s="1"/>
  <c r="I79" i="16"/>
  <c r="F44" i="16"/>
  <c r="J80" i="16" s="1"/>
  <c r="R79" i="16"/>
  <c r="R98" i="16" s="1"/>
  <c r="Q79" i="16"/>
  <c r="Q98" i="16" s="1"/>
  <c r="G34" i="16"/>
  <c r="U41" i="16"/>
  <c r="H78" i="16"/>
  <c r="L63" i="16"/>
  <c r="S67" i="16"/>
  <c r="F34" i="16"/>
  <c r="U78" i="16"/>
  <c r="U97" i="16" s="1"/>
  <c r="Q78" i="16"/>
  <c r="Q97" i="16" s="1"/>
  <c r="M78" i="16"/>
  <c r="M97" i="16" s="1"/>
  <c r="T78" i="16"/>
  <c r="T97" i="16" s="1"/>
  <c r="P78" i="16"/>
  <c r="P97" i="16" s="1"/>
  <c r="O78" i="16"/>
  <c r="O97" i="16" s="1"/>
  <c r="G78" i="16"/>
  <c r="N78" i="16"/>
  <c r="E43" i="16"/>
  <c r="T70" i="16"/>
  <c r="H34" i="16"/>
  <c r="V41" i="16"/>
  <c r="U42" i="16"/>
  <c r="N64" i="16"/>
  <c r="Q65" i="16"/>
  <c r="R78" i="16"/>
  <c r="L62" i="14"/>
  <c r="M62" i="14" s="1"/>
  <c r="K62" i="16"/>
  <c r="E62" i="16"/>
  <c r="S78" i="16"/>
  <c r="S97" i="16" s="1"/>
  <c r="R68" i="16"/>
  <c r="O96" i="16"/>
  <c r="S96" i="16"/>
  <c r="P66" i="16"/>
  <c r="T69" i="16"/>
  <c r="L96" i="16"/>
  <c r="P96" i="16"/>
  <c r="T96" i="16"/>
  <c r="U71" i="16"/>
  <c r="M96" i="16"/>
  <c r="O64" i="15"/>
  <c r="U69" i="15"/>
  <c r="E43" i="15"/>
  <c r="U42" i="15"/>
  <c r="V42" i="15"/>
  <c r="E62" i="15"/>
  <c r="L62" i="15"/>
  <c r="S67" i="15"/>
  <c r="J60" i="15"/>
  <c r="J60" i="14"/>
  <c r="K60" i="14" s="1"/>
  <c r="L60" i="14" s="1"/>
  <c r="L78" i="14" s="1"/>
  <c r="F34" i="15"/>
  <c r="U78" i="15"/>
  <c r="Q78" i="15"/>
  <c r="Q97" i="15" s="1"/>
  <c r="M78" i="15"/>
  <c r="M97" i="15" s="1"/>
  <c r="T78" i="15"/>
  <c r="T97" i="15" s="1"/>
  <c r="P78" i="15"/>
  <c r="P97" i="15" s="1"/>
  <c r="N78" i="15"/>
  <c r="N97" i="15" s="1"/>
  <c r="G78" i="15"/>
  <c r="S78" i="15"/>
  <c r="S97" i="15" s="1"/>
  <c r="R78" i="15"/>
  <c r="R97" i="15" s="1"/>
  <c r="O78" i="15"/>
  <c r="O97" i="15" s="1"/>
  <c r="F43" i="15"/>
  <c r="I79" i="15" s="1"/>
  <c r="H78" i="15"/>
  <c r="Q65" i="15"/>
  <c r="S68" i="15"/>
  <c r="V41" i="15"/>
  <c r="H34" i="15"/>
  <c r="U41" i="15"/>
  <c r="G34" i="15"/>
  <c r="O63" i="15"/>
  <c r="P66" i="15"/>
  <c r="T70" i="15"/>
  <c r="Q96" i="15"/>
  <c r="L96" i="15"/>
  <c r="P96" i="15"/>
  <c r="I59" i="13"/>
  <c r="J59" i="13" s="1"/>
  <c r="U71" i="15"/>
  <c r="N96" i="15"/>
  <c r="R96" i="15"/>
  <c r="S96" i="15"/>
  <c r="R78" i="14"/>
  <c r="R97" i="14" s="1"/>
  <c r="U78" i="14"/>
  <c r="U97" i="14" s="1"/>
  <c r="T78" i="14"/>
  <c r="T97" i="14" s="1"/>
  <c r="P78" i="14"/>
  <c r="P97" i="14" s="1"/>
  <c r="S78" i="14"/>
  <c r="S97" i="14" s="1"/>
  <c r="M78" i="14"/>
  <c r="M97" i="14" s="1"/>
  <c r="F43" i="14"/>
  <c r="Q78" i="14"/>
  <c r="Q97" i="14" s="1"/>
  <c r="H78" i="14"/>
  <c r="O78" i="14"/>
  <c r="O97" i="14" s="1"/>
  <c r="G78" i="14"/>
  <c r="N78" i="14"/>
  <c r="N97" i="14" s="1"/>
  <c r="P65" i="14"/>
  <c r="N63" i="14"/>
  <c r="T69" i="14"/>
  <c r="E44" i="14"/>
  <c r="U43" i="14"/>
  <c r="E62" i="14"/>
  <c r="R67" i="14"/>
  <c r="V41" i="14"/>
  <c r="U42" i="14"/>
  <c r="O96" i="14"/>
  <c r="S96" i="14"/>
  <c r="L96" i="14"/>
  <c r="P96" i="14"/>
  <c r="T96" i="14"/>
  <c r="M96" i="14"/>
  <c r="Q96" i="14"/>
  <c r="U96" i="14"/>
  <c r="U41" i="14"/>
  <c r="O64" i="14"/>
  <c r="Q66" i="14"/>
  <c r="S68" i="14"/>
  <c r="U70" i="14"/>
  <c r="U71" i="14"/>
  <c r="N96" i="14"/>
  <c r="R96" i="14"/>
  <c r="U78" i="13"/>
  <c r="U97" i="13" s="1"/>
  <c r="I78" i="13"/>
  <c r="H78" i="13"/>
  <c r="P78" i="13"/>
  <c r="P97" i="13" s="1"/>
  <c r="F34" i="13"/>
  <c r="E44" i="13"/>
  <c r="U43" i="13"/>
  <c r="M62" i="13"/>
  <c r="Q66" i="13"/>
  <c r="U70" i="13"/>
  <c r="G34" i="13"/>
  <c r="J78" i="13"/>
  <c r="K60" i="13"/>
  <c r="U71" i="13"/>
  <c r="U42" i="13"/>
  <c r="H34" i="13"/>
  <c r="U41" i="13"/>
  <c r="E63" i="13"/>
  <c r="O64" i="13"/>
  <c r="S68" i="13"/>
  <c r="M96" i="13"/>
  <c r="Q96" i="13"/>
  <c r="U96" i="13"/>
  <c r="N96" i="13"/>
  <c r="R96" i="13"/>
  <c r="M78" i="13"/>
  <c r="M97" i="13" s="1"/>
  <c r="Q78" i="13"/>
  <c r="Q97" i="13" s="1"/>
  <c r="S96" i="13"/>
  <c r="N78" i="13"/>
  <c r="N97" i="13" s="1"/>
  <c r="S78" i="13"/>
  <c r="S97" i="13" s="1"/>
  <c r="F43" i="13"/>
  <c r="L61" i="13"/>
  <c r="N63" i="13"/>
  <c r="P65" i="13"/>
  <c r="R67" i="13"/>
  <c r="T69" i="13"/>
  <c r="P96" i="13"/>
  <c r="G78" i="13"/>
  <c r="O78" i="13"/>
  <c r="O97" i="13" s="1"/>
  <c r="T78" i="13"/>
  <c r="T71" i="1"/>
  <c r="T70" i="1"/>
  <c r="E40" i="12"/>
  <c r="E41" i="12" s="1"/>
  <c r="E42" i="12" s="1"/>
  <c r="E43" i="12" s="1"/>
  <c r="E44" i="12" s="1"/>
  <c r="E45" i="12" s="1"/>
  <c r="E46" i="12" s="1"/>
  <c r="E47" i="12" s="1"/>
  <c r="E48" i="12" s="1"/>
  <c r="E49" i="12" s="1"/>
  <c r="E50" i="12" s="1"/>
  <c r="E51" i="12" s="1"/>
  <c r="E52" i="12" s="1"/>
  <c r="E15" i="12"/>
  <c r="E16" i="12" s="1"/>
  <c r="E17" i="12" s="1"/>
  <c r="E18" i="12" s="1"/>
  <c r="E19" i="12" s="1"/>
  <c r="E20" i="12" s="1"/>
  <c r="E21" i="12" s="1"/>
  <c r="E22" i="12" s="1"/>
  <c r="E23" i="12" s="1"/>
  <c r="E24" i="12" s="1"/>
  <c r="E25" i="12" s="1"/>
  <c r="E26" i="12" s="1"/>
  <c r="E27" i="12" s="1"/>
  <c r="F44" i="1" l="1"/>
  <c r="F45" i="1" s="1"/>
  <c r="F46" i="1" s="1"/>
  <c r="F47" i="1" s="1"/>
  <c r="F48" i="1" s="1"/>
  <c r="N80" i="1"/>
  <c r="K79" i="13"/>
  <c r="J79" i="14"/>
  <c r="L61" i="14"/>
  <c r="M61" i="14" s="1"/>
  <c r="K79" i="16"/>
  <c r="K79" i="14"/>
  <c r="K61" i="15"/>
  <c r="L61" i="15" s="1"/>
  <c r="M61" i="15" s="1"/>
  <c r="K78" i="14"/>
  <c r="K97" i="14" s="1"/>
  <c r="J78" i="14"/>
  <c r="J59" i="16"/>
  <c r="J77" i="16" s="1"/>
  <c r="K59" i="13"/>
  <c r="F59" i="13" s="1"/>
  <c r="F77" i="13" s="1"/>
  <c r="I77" i="13"/>
  <c r="L97" i="14"/>
  <c r="R97" i="16"/>
  <c r="U43" i="16"/>
  <c r="E44" i="16"/>
  <c r="V43" i="16"/>
  <c r="S80" i="16"/>
  <c r="S99" i="16" s="1"/>
  <c r="O80" i="16"/>
  <c r="O99" i="16" s="1"/>
  <c r="G80" i="16"/>
  <c r="R80" i="16"/>
  <c r="R99" i="16" s="1"/>
  <c r="U80" i="16"/>
  <c r="U99" i="16" s="1"/>
  <c r="T80" i="16"/>
  <c r="I80" i="16"/>
  <c r="F45" i="16"/>
  <c r="L81" i="16" s="1"/>
  <c r="H80" i="16"/>
  <c r="P80" i="16"/>
  <c r="Q80" i="16"/>
  <c r="Q99" i="16" s="1"/>
  <c r="K60" i="16"/>
  <c r="K60" i="15"/>
  <c r="Q66" i="16"/>
  <c r="S68" i="16"/>
  <c r="E63" i="16"/>
  <c r="L79" i="16"/>
  <c r="M61" i="16"/>
  <c r="U70" i="16"/>
  <c r="N97" i="16"/>
  <c r="M63" i="16"/>
  <c r="U69" i="16"/>
  <c r="O64" i="16"/>
  <c r="K80" i="16"/>
  <c r="L62" i="16"/>
  <c r="Q66" i="15"/>
  <c r="E63" i="15"/>
  <c r="J77" i="13"/>
  <c r="J59" i="15"/>
  <c r="J59" i="14"/>
  <c r="K59" i="14" s="1"/>
  <c r="T79" i="15"/>
  <c r="P79" i="15"/>
  <c r="H79" i="15"/>
  <c r="S79" i="15"/>
  <c r="O79" i="15"/>
  <c r="G79" i="15"/>
  <c r="U79" i="15"/>
  <c r="U98" i="15" s="1"/>
  <c r="R79" i="15"/>
  <c r="J79" i="15"/>
  <c r="Q79" i="15"/>
  <c r="F44" i="15"/>
  <c r="L80" i="15" s="1"/>
  <c r="N79" i="15"/>
  <c r="E44" i="15"/>
  <c r="V43" i="15"/>
  <c r="U43" i="15"/>
  <c r="P64" i="15"/>
  <c r="J78" i="15"/>
  <c r="M62" i="15"/>
  <c r="U70" i="15"/>
  <c r="T68" i="15"/>
  <c r="U97" i="15"/>
  <c r="T68" i="14"/>
  <c r="P64" i="14"/>
  <c r="S67" i="14"/>
  <c r="U69" i="14"/>
  <c r="R66" i="14"/>
  <c r="N62" i="14"/>
  <c r="F62" i="14" s="1"/>
  <c r="V44" i="14"/>
  <c r="E45" i="14"/>
  <c r="L79" i="14"/>
  <c r="O63" i="14"/>
  <c r="E63" i="14"/>
  <c r="Q65" i="14"/>
  <c r="R79" i="14"/>
  <c r="N79" i="14"/>
  <c r="U79" i="14"/>
  <c r="Q79" i="14"/>
  <c r="I79" i="14"/>
  <c r="T79" i="14"/>
  <c r="P79" i="14"/>
  <c r="H79" i="14"/>
  <c r="S79" i="14"/>
  <c r="O79" i="14"/>
  <c r="G79" i="14"/>
  <c r="F44" i="14"/>
  <c r="S67" i="13"/>
  <c r="O63" i="13"/>
  <c r="P64" i="13"/>
  <c r="E64" i="13"/>
  <c r="K78" i="13"/>
  <c r="L60" i="13"/>
  <c r="L78" i="13" s="1"/>
  <c r="M61" i="13"/>
  <c r="M79" i="13" s="1"/>
  <c r="L79" i="13"/>
  <c r="N62" i="13"/>
  <c r="T97" i="13"/>
  <c r="U69" i="13"/>
  <c r="Q65" i="13"/>
  <c r="U79" i="13"/>
  <c r="Q79" i="13"/>
  <c r="I79" i="13"/>
  <c r="S79" i="13"/>
  <c r="S98" i="13" s="1"/>
  <c r="O79" i="13"/>
  <c r="O98" i="13" s="1"/>
  <c r="G79" i="13"/>
  <c r="R79" i="13"/>
  <c r="F44" i="13"/>
  <c r="P79" i="13"/>
  <c r="H79" i="13"/>
  <c r="N79" i="13"/>
  <c r="N98" i="13" s="1"/>
  <c r="T79" i="13"/>
  <c r="T98" i="13" s="1"/>
  <c r="T68" i="13"/>
  <c r="J79" i="13"/>
  <c r="R66" i="13"/>
  <c r="E45" i="13"/>
  <c r="U73" i="1"/>
  <c r="U70" i="1"/>
  <c r="U71" i="1"/>
  <c r="L79" i="15" l="1"/>
  <c r="F49" i="1"/>
  <c r="N85" i="1"/>
  <c r="K79" i="15"/>
  <c r="K77" i="13"/>
  <c r="J96" i="13" s="1"/>
  <c r="J96" i="16" s="1"/>
  <c r="T68" i="16"/>
  <c r="P99" i="16"/>
  <c r="T99" i="16"/>
  <c r="E45" i="16"/>
  <c r="V44" i="16"/>
  <c r="L80" i="16"/>
  <c r="M62" i="16"/>
  <c r="M81" i="16"/>
  <c r="N63" i="16"/>
  <c r="K97" i="16"/>
  <c r="K97" i="15"/>
  <c r="M79" i="16"/>
  <c r="L98" i="16" s="1"/>
  <c r="F61" i="16"/>
  <c r="F79" i="16" s="1"/>
  <c r="E64" i="16"/>
  <c r="L60" i="16"/>
  <c r="L78" i="16" s="1"/>
  <c r="K78" i="16"/>
  <c r="R81" i="16"/>
  <c r="J81" i="16"/>
  <c r="U81" i="16"/>
  <c r="U100" i="16" s="1"/>
  <c r="Q81" i="16"/>
  <c r="I81" i="16"/>
  <c r="T81" i="16"/>
  <c r="T100" i="16" s="1"/>
  <c r="S81" i="16"/>
  <c r="S100" i="16" s="1"/>
  <c r="H81" i="16"/>
  <c r="G81" i="16"/>
  <c r="P81" i="16"/>
  <c r="P100" i="16" s="1"/>
  <c r="F46" i="16"/>
  <c r="O82" i="16" s="1"/>
  <c r="K81" i="16"/>
  <c r="K59" i="16"/>
  <c r="K77" i="16" s="1"/>
  <c r="K59" i="15"/>
  <c r="K77" i="15" s="1"/>
  <c r="P64" i="16"/>
  <c r="R66" i="16"/>
  <c r="K78" i="15"/>
  <c r="L60" i="15"/>
  <c r="L78" i="15" s="1"/>
  <c r="E45" i="15"/>
  <c r="V44" i="15"/>
  <c r="Q98" i="15"/>
  <c r="P98" i="15"/>
  <c r="O98" i="15"/>
  <c r="T98" i="15"/>
  <c r="E64" i="15"/>
  <c r="F63" i="15"/>
  <c r="N62" i="15"/>
  <c r="N80" i="15" s="1"/>
  <c r="M80" i="15"/>
  <c r="N98" i="15"/>
  <c r="R98" i="15"/>
  <c r="S98" i="15"/>
  <c r="R66" i="15"/>
  <c r="M79" i="15"/>
  <c r="F61" i="15"/>
  <c r="F79" i="15" s="1"/>
  <c r="S80" i="15"/>
  <c r="S99" i="15" s="1"/>
  <c r="O80" i="15"/>
  <c r="O99" i="15" s="1"/>
  <c r="G80" i="15"/>
  <c r="R80" i="15"/>
  <c r="R99" i="15" s="1"/>
  <c r="T80" i="15"/>
  <c r="T99" i="15" s="1"/>
  <c r="Q80" i="15"/>
  <c r="Q99" i="15" s="1"/>
  <c r="I80" i="15"/>
  <c r="P80" i="15"/>
  <c r="P99" i="15" s="1"/>
  <c r="H80" i="15"/>
  <c r="U80" i="15"/>
  <c r="F45" i="15"/>
  <c r="K80" i="15"/>
  <c r="J80" i="15"/>
  <c r="J77" i="15"/>
  <c r="S98" i="14"/>
  <c r="R98" i="14"/>
  <c r="J77" i="14"/>
  <c r="U80" i="14"/>
  <c r="U99" i="14" s="1"/>
  <c r="Q80" i="14"/>
  <c r="Q99" i="14" s="1"/>
  <c r="I80" i="14"/>
  <c r="T80" i="14"/>
  <c r="T99" i="14" s="1"/>
  <c r="P80" i="14"/>
  <c r="P99" i="14" s="1"/>
  <c r="H80" i="14"/>
  <c r="S80" i="14"/>
  <c r="S99" i="14" s="1"/>
  <c r="O80" i="14"/>
  <c r="O99" i="14" s="1"/>
  <c r="G80" i="14"/>
  <c r="R80" i="14"/>
  <c r="R99" i="14" s="1"/>
  <c r="J80" i="14"/>
  <c r="F45" i="14"/>
  <c r="L80" i="14"/>
  <c r="K80" i="14"/>
  <c r="Q98" i="14"/>
  <c r="F80" i="14"/>
  <c r="M98" i="13"/>
  <c r="P98" i="14"/>
  <c r="U98" i="14"/>
  <c r="E64" i="14"/>
  <c r="F63" i="14"/>
  <c r="M79" i="14"/>
  <c r="L98" i="14" s="1"/>
  <c r="F61" i="14"/>
  <c r="F79" i="14" s="1"/>
  <c r="E46" i="14"/>
  <c r="N80" i="14"/>
  <c r="O98" i="14"/>
  <c r="T98" i="14"/>
  <c r="N98" i="14"/>
  <c r="M80" i="14"/>
  <c r="T80" i="13"/>
  <c r="T99" i="13" s="1"/>
  <c r="P80" i="13"/>
  <c r="P99" i="13" s="1"/>
  <c r="H80" i="13"/>
  <c r="R80" i="13"/>
  <c r="R99" i="13" s="1"/>
  <c r="J80" i="13"/>
  <c r="T44" i="13" s="1"/>
  <c r="Q80" i="13"/>
  <c r="Q99" i="13" s="1"/>
  <c r="I80" i="13"/>
  <c r="F45" i="13"/>
  <c r="O81" i="13" s="1"/>
  <c r="O80" i="13"/>
  <c r="O99" i="13" s="1"/>
  <c r="G80" i="13"/>
  <c r="T41" i="13" s="1"/>
  <c r="U80" i="13"/>
  <c r="U99" i="13" s="1"/>
  <c r="K80" i="13"/>
  <c r="S80" i="13"/>
  <c r="S99" i="13" s="1"/>
  <c r="L80" i="13"/>
  <c r="M80" i="13"/>
  <c r="K97" i="13"/>
  <c r="E65" i="13"/>
  <c r="F64" i="13"/>
  <c r="T45" i="13"/>
  <c r="U45" i="13"/>
  <c r="E46" i="13"/>
  <c r="J98" i="13"/>
  <c r="J98" i="16" s="1"/>
  <c r="R98" i="13"/>
  <c r="N80" i="13"/>
  <c r="F62" i="13"/>
  <c r="F80" i="13" s="1"/>
  <c r="K96" i="13"/>
  <c r="K98" i="13"/>
  <c r="F61" i="13"/>
  <c r="F79" i="13" s="1"/>
  <c r="Q98" i="13"/>
  <c r="J97" i="13"/>
  <c r="J97" i="16" s="1"/>
  <c r="F60" i="13"/>
  <c r="F78" i="13" s="1"/>
  <c r="P98" i="13"/>
  <c r="U98" i="13"/>
  <c r="L98" i="13"/>
  <c r="L97" i="13"/>
  <c r="F63" i="13"/>
  <c r="P82" i="16" l="1"/>
  <c r="F50" i="1"/>
  <c r="N86" i="1"/>
  <c r="F62" i="15"/>
  <c r="F80" i="15" s="1"/>
  <c r="R100" i="16"/>
  <c r="F64" i="16"/>
  <c r="F82" i="16" s="1"/>
  <c r="E65" i="16"/>
  <c r="N62" i="16"/>
  <c r="N80" i="16" s="1"/>
  <c r="M80" i="16"/>
  <c r="Q100" i="16"/>
  <c r="N81" i="16"/>
  <c r="O63" i="16"/>
  <c r="E46" i="16"/>
  <c r="U45" i="16"/>
  <c r="F81" i="13"/>
  <c r="U82" i="16"/>
  <c r="Q82" i="16"/>
  <c r="Q101" i="16" s="1"/>
  <c r="I82" i="16"/>
  <c r="T82" i="16"/>
  <c r="T101" i="16" s="1"/>
  <c r="L82" i="16"/>
  <c r="H82" i="16"/>
  <c r="S82" i="16"/>
  <c r="K82" i="16"/>
  <c r="R82" i="16"/>
  <c r="R101" i="16" s="1"/>
  <c r="J82" i="16"/>
  <c r="G82" i="16"/>
  <c r="F47" i="16"/>
  <c r="M82" i="16"/>
  <c r="N82" i="16"/>
  <c r="L97" i="16"/>
  <c r="M98" i="16"/>
  <c r="L99" i="15"/>
  <c r="M98" i="15"/>
  <c r="U45" i="15"/>
  <c r="E46" i="15"/>
  <c r="L98" i="15"/>
  <c r="J97" i="15"/>
  <c r="J97" i="14"/>
  <c r="J96" i="15"/>
  <c r="J96" i="14"/>
  <c r="R81" i="15"/>
  <c r="J81" i="15"/>
  <c r="U81" i="15"/>
  <c r="U100" i="15" s="1"/>
  <c r="Q81" i="15"/>
  <c r="Q100" i="15" s="1"/>
  <c r="I81" i="15"/>
  <c r="S81" i="15"/>
  <c r="S100" i="15" s="1"/>
  <c r="K81" i="15"/>
  <c r="P81" i="15"/>
  <c r="P100" i="15" s="1"/>
  <c r="H81" i="15"/>
  <c r="G81" i="15"/>
  <c r="T81" i="15"/>
  <c r="T100" i="15" s="1"/>
  <c r="F46" i="15"/>
  <c r="L81" i="15"/>
  <c r="N81" i="15"/>
  <c r="M81" i="15"/>
  <c r="O81" i="15"/>
  <c r="M99" i="15"/>
  <c r="F81" i="15"/>
  <c r="J98" i="15"/>
  <c r="J98" i="14"/>
  <c r="U99" i="15"/>
  <c r="N99" i="15"/>
  <c r="F64" i="15"/>
  <c r="E65" i="15"/>
  <c r="L97" i="15"/>
  <c r="F81" i="14"/>
  <c r="N99" i="14"/>
  <c r="M99" i="14"/>
  <c r="K99" i="14"/>
  <c r="E65" i="14"/>
  <c r="F64" i="14"/>
  <c r="L99" i="14"/>
  <c r="U46" i="14"/>
  <c r="T46" i="14"/>
  <c r="E47" i="14"/>
  <c r="T81" i="14"/>
  <c r="P81" i="14"/>
  <c r="H81" i="14"/>
  <c r="S81" i="14"/>
  <c r="S100" i="14" s="1"/>
  <c r="K81" i="14"/>
  <c r="G81" i="14"/>
  <c r="T41" i="14" s="1"/>
  <c r="R81" i="14"/>
  <c r="J81" i="14"/>
  <c r="T44" i="14" s="1"/>
  <c r="U81" i="14"/>
  <c r="Q81" i="14"/>
  <c r="I81" i="14"/>
  <c r="F46" i="14"/>
  <c r="M81" i="14"/>
  <c r="L81" i="14"/>
  <c r="N81" i="14"/>
  <c r="K77" i="14"/>
  <c r="O81" i="14"/>
  <c r="M98" i="14"/>
  <c r="K98" i="14"/>
  <c r="T42" i="13"/>
  <c r="T43" i="13"/>
  <c r="N99" i="13"/>
  <c r="E66" i="13"/>
  <c r="F65" i="13"/>
  <c r="M99" i="13"/>
  <c r="K99" i="13"/>
  <c r="S81" i="13"/>
  <c r="S100" i="13" s="1"/>
  <c r="K81" i="13"/>
  <c r="G81" i="13"/>
  <c r="R81" i="13"/>
  <c r="U81" i="13"/>
  <c r="Q81" i="13"/>
  <c r="I81" i="13"/>
  <c r="P81" i="13"/>
  <c r="H81" i="13"/>
  <c r="F46" i="13"/>
  <c r="F82" i="13" s="1"/>
  <c r="T81" i="13"/>
  <c r="J81" i="13"/>
  <c r="J100" i="13" s="1"/>
  <c r="J100" i="16" s="1"/>
  <c r="L81" i="13"/>
  <c r="M81" i="13"/>
  <c r="N81" i="13"/>
  <c r="J99" i="13"/>
  <c r="J99" i="16" s="1"/>
  <c r="T46" i="13"/>
  <c r="U46" i="13"/>
  <c r="E47" i="13"/>
  <c r="L99" i="13"/>
  <c r="F51" i="1" l="1"/>
  <c r="N87" i="1"/>
  <c r="O100" i="15"/>
  <c r="T45" i="14"/>
  <c r="L99" i="16"/>
  <c r="F62" i="16"/>
  <c r="F80" i="16" s="1"/>
  <c r="M101" i="16"/>
  <c r="K99" i="16"/>
  <c r="K99" i="15"/>
  <c r="N101" i="16"/>
  <c r="U46" i="16"/>
  <c r="E47" i="16"/>
  <c r="E66" i="16"/>
  <c r="F65" i="16"/>
  <c r="F83" i="16" s="1"/>
  <c r="L101" i="16"/>
  <c r="U101" i="16"/>
  <c r="O101" i="16"/>
  <c r="K98" i="16"/>
  <c r="K98" i="15"/>
  <c r="T83" i="16"/>
  <c r="T102" i="16" s="1"/>
  <c r="L83" i="16"/>
  <c r="T46" i="16" s="1"/>
  <c r="H83" i="16"/>
  <c r="S83" i="16"/>
  <c r="S102" i="16" s="1"/>
  <c r="K83" i="16"/>
  <c r="T45" i="16" s="1"/>
  <c r="G83" i="16"/>
  <c r="T41" i="16" s="1"/>
  <c r="R83" i="16"/>
  <c r="R102" i="16" s="1"/>
  <c r="J83" i="16"/>
  <c r="T44" i="16" s="1"/>
  <c r="F48" i="16"/>
  <c r="I83" i="16"/>
  <c r="M83" i="16"/>
  <c r="U83" i="16"/>
  <c r="U102" i="16" s="1"/>
  <c r="N83" i="16"/>
  <c r="P83" i="16"/>
  <c r="O83" i="16"/>
  <c r="Q83" i="16"/>
  <c r="M99" i="16"/>
  <c r="S101" i="16"/>
  <c r="O81" i="16"/>
  <c r="L100" i="16" s="1"/>
  <c r="F63" i="16"/>
  <c r="F81" i="16" s="1"/>
  <c r="P101" i="16"/>
  <c r="N99" i="16"/>
  <c r="E66" i="15"/>
  <c r="F65" i="15"/>
  <c r="M100" i="15"/>
  <c r="F82" i="15"/>
  <c r="N100" i="15"/>
  <c r="J99" i="15"/>
  <c r="J99" i="14"/>
  <c r="J100" i="15"/>
  <c r="J100" i="14"/>
  <c r="L100" i="15"/>
  <c r="R100" i="15"/>
  <c r="E47" i="15"/>
  <c r="U82" i="15"/>
  <c r="Q82" i="15"/>
  <c r="Q101" i="15" s="1"/>
  <c r="I82" i="15"/>
  <c r="T82" i="15"/>
  <c r="T101" i="15" s="1"/>
  <c r="L82" i="15"/>
  <c r="T46" i="15" s="1"/>
  <c r="H82" i="15"/>
  <c r="J82" i="15"/>
  <c r="T44" i="15" s="1"/>
  <c r="G82" i="15"/>
  <c r="T41" i="15" s="1"/>
  <c r="F47" i="15"/>
  <c r="S82" i="15"/>
  <c r="K82" i="15"/>
  <c r="T45" i="15" s="1"/>
  <c r="R82" i="15"/>
  <c r="R101" i="15" s="1"/>
  <c r="N82" i="15"/>
  <c r="M82" i="15"/>
  <c r="O82" i="15"/>
  <c r="P82" i="15"/>
  <c r="K96" i="14"/>
  <c r="S82" i="14"/>
  <c r="S101" i="14" s="1"/>
  <c r="K82" i="14"/>
  <c r="K101" i="14" s="1"/>
  <c r="G82" i="14"/>
  <c r="R82" i="14"/>
  <c r="R101" i="14" s="1"/>
  <c r="J82" i="14"/>
  <c r="U82" i="14"/>
  <c r="U101" i="14" s="1"/>
  <c r="Q82" i="14"/>
  <c r="Q101" i="14" s="1"/>
  <c r="I82" i="14"/>
  <c r="T82" i="14"/>
  <c r="T101" i="14" s="1"/>
  <c r="L82" i="14"/>
  <c r="H82" i="14"/>
  <c r="F47" i="14"/>
  <c r="M82" i="14"/>
  <c r="N82" i="14"/>
  <c r="O82" i="14"/>
  <c r="P82" i="14"/>
  <c r="F82" i="14"/>
  <c r="N100" i="14"/>
  <c r="R100" i="14"/>
  <c r="U47" i="14"/>
  <c r="T47" i="14"/>
  <c r="E48" i="14"/>
  <c r="E66" i="14"/>
  <c r="F65" i="14"/>
  <c r="O100" i="14"/>
  <c r="L100" i="14"/>
  <c r="Q100" i="14"/>
  <c r="P100" i="14"/>
  <c r="M100" i="14"/>
  <c r="U100" i="14"/>
  <c r="K100" i="14"/>
  <c r="T100" i="14"/>
  <c r="O100" i="13"/>
  <c r="L100" i="13"/>
  <c r="U100" i="13"/>
  <c r="E67" i="13"/>
  <c r="F66" i="13"/>
  <c r="R82" i="13"/>
  <c r="R101" i="13" s="1"/>
  <c r="J82" i="13"/>
  <c r="U82" i="13"/>
  <c r="U101" i="13" s="1"/>
  <c r="Q82" i="13"/>
  <c r="Q101" i="13" s="1"/>
  <c r="I82" i="13"/>
  <c r="T82" i="13"/>
  <c r="T101" i="13" s="1"/>
  <c r="L82" i="13"/>
  <c r="H82" i="13"/>
  <c r="F47" i="13"/>
  <c r="K82" i="13"/>
  <c r="K101" i="13" s="1"/>
  <c r="G82" i="13"/>
  <c r="S82" i="13"/>
  <c r="N82" i="13"/>
  <c r="M82" i="13"/>
  <c r="O82" i="13"/>
  <c r="P82" i="13"/>
  <c r="P100" i="13"/>
  <c r="R100" i="13"/>
  <c r="T47" i="13"/>
  <c r="U47" i="13"/>
  <c r="E48" i="13"/>
  <c r="M100" i="13"/>
  <c r="Q100" i="13"/>
  <c r="K100" i="13"/>
  <c r="N100" i="13"/>
  <c r="T100" i="13"/>
  <c r="F83" i="14" l="1"/>
  <c r="F52" i="1"/>
  <c r="N88" i="1"/>
  <c r="N107" i="1" s="1"/>
  <c r="P88" i="1"/>
  <c r="P107" i="1" s="1"/>
  <c r="O88" i="1"/>
  <c r="O107" i="1" s="1"/>
  <c r="K88" i="1"/>
  <c r="K107" i="1" s="1"/>
  <c r="G88" i="1"/>
  <c r="G107" i="1" s="1"/>
  <c r="S88" i="1"/>
  <c r="L88" i="1"/>
  <c r="L107" i="1" s="1"/>
  <c r="H88" i="1"/>
  <c r="H107" i="1" s="1"/>
  <c r="R88" i="1"/>
  <c r="J88" i="1"/>
  <c r="J107" i="1" s="1"/>
  <c r="Q88" i="1"/>
  <c r="M88" i="1"/>
  <c r="M107" i="1" s="1"/>
  <c r="I88" i="1"/>
  <c r="I107" i="1" s="1"/>
  <c r="T88" i="1"/>
  <c r="U88" i="1"/>
  <c r="U107" i="1" s="1"/>
  <c r="N100" i="16"/>
  <c r="P101" i="15"/>
  <c r="P102" i="16"/>
  <c r="L102" i="16"/>
  <c r="T47" i="16"/>
  <c r="E48" i="16"/>
  <c r="K101" i="16"/>
  <c r="K101" i="15"/>
  <c r="N102" i="16"/>
  <c r="S84" i="16"/>
  <c r="S103" i="16" s="1"/>
  <c r="K84" i="16"/>
  <c r="G84" i="16"/>
  <c r="N84" i="16"/>
  <c r="J84" i="16"/>
  <c r="I84" i="16"/>
  <c r="F49" i="16"/>
  <c r="H84" i="16"/>
  <c r="L84" i="16"/>
  <c r="L103" i="16" s="1"/>
  <c r="U84" i="16"/>
  <c r="U103" i="16" s="1"/>
  <c r="T84" i="16"/>
  <c r="T103" i="16" s="1"/>
  <c r="M84" i="16"/>
  <c r="O84" i="16"/>
  <c r="P84" i="16"/>
  <c r="Q84" i="16"/>
  <c r="R84" i="16"/>
  <c r="Q102" i="16"/>
  <c r="K100" i="16"/>
  <c r="K100" i="15"/>
  <c r="K96" i="16"/>
  <c r="K96" i="15"/>
  <c r="N101" i="15"/>
  <c r="O100" i="16"/>
  <c r="M100" i="16"/>
  <c r="O102" i="16"/>
  <c r="M102" i="16"/>
  <c r="F66" i="16"/>
  <c r="F84" i="16" s="1"/>
  <c r="E67" i="16"/>
  <c r="T83" i="15"/>
  <c r="T102" i="15" s="1"/>
  <c r="L83" i="15"/>
  <c r="L102" i="15" s="1"/>
  <c r="H83" i="15"/>
  <c r="S83" i="15"/>
  <c r="S102" i="15" s="1"/>
  <c r="K83" i="15"/>
  <c r="G83" i="15"/>
  <c r="F48" i="15"/>
  <c r="N83" i="15"/>
  <c r="U83" i="15"/>
  <c r="U102" i="15" s="1"/>
  <c r="M83" i="15"/>
  <c r="I83" i="15"/>
  <c r="R83" i="15"/>
  <c r="R102" i="15" s="1"/>
  <c r="J83" i="15"/>
  <c r="P83" i="15"/>
  <c r="O83" i="15"/>
  <c r="Q83" i="15"/>
  <c r="L101" i="15"/>
  <c r="U101" i="15"/>
  <c r="F83" i="15"/>
  <c r="O101" i="13"/>
  <c r="F66" i="15"/>
  <c r="E67" i="15"/>
  <c r="O101" i="15"/>
  <c r="M101" i="15"/>
  <c r="S101" i="15"/>
  <c r="T47" i="15"/>
  <c r="U47" i="15"/>
  <c r="E48" i="15"/>
  <c r="N101" i="14"/>
  <c r="P101" i="14"/>
  <c r="R83" i="14"/>
  <c r="J83" i="14"/>
  <c r="U83" i="14"/>
  <c r="M83" i="14"/>
  <c r="I83" i="14"/>
  <c r="T83" i="14"/>
  <c r="L83" i="14"/>
  <c r="H83" i="14"/>
  <c r="S83" i="14"/>
  <c r="K83" i="14"/>
  <c r="K102" i="14" s="1"/>
  <c r="G83" i="14"/>
  <c r="F48" i="14"/>
  <c r="N83" i="14"/>
  <c r="O83" i="14"/>
  <c r="P83" i="14"/>
  <c r="Q83" i="14"/>
  <c r="E67" i="14"/>
  <c r="F66" i="14"/>
  <c r="O101" i="14"/>
  <c r="U48" i="14"/>
  <c r="T48" i="14"/>
  <c r="E49" i="14"/>
  <c r="L101" i="14"/>
  <c r="M101" i="14"/>
  <c r="P101" i="13"/>
  <c r="L101" i="13"/>
  <c r="M101" i="13"/>
  <c r="J101" i="13"/>
  <c r="J101" i="16" s="1"/>
  <c r="E68" i="13"/>
  <c r="F67" i="13"/>
  <c r="T48" i="13"/>
  <c r="E49" i="13"/>
  <c r="U48" i="13"/>
  <c r="N101" i="13"/>
  <c r="U83" i="13"/>
  <c r="U102" i="13" s="1"/>
  <c r="M83" i="13"/>
  <c r="I83" i="13"/>
  <c r="T83" i="13"/>
  <c r="L83" i="13"/>
  <c r="L102" i="13" s="1"/>
  <c r="H83" i="13"/>
  <c r="S83" i="13"/>
  <c r="S102" i="13" s="1"/>
  <c r="K83" i="13"/>
  <c r="G83" i="13"/>
  <c r="F48" i="13"/>
  <c r="J83" i="13"/>
  <c r="J102" i="13" s="1"/>
  <c r="J102" i="16" s="1"/>
  <c r="R83" i="13"/>
  <c r="O83" i="13"/>
  <c r="N83" i="13"/>
  <c r="P83" i="13"/>
  <c r="Q83" i="13"/>
  <c r="S101" i="13"/>
  <c r="F83" i="13"/>
  <c r="R107" i="1" l="1"/>
  <c r="T107" i="1"/>
  <c r="I106" i="15"/>
  <c r="I106" i="16"/>
  <c r="I106" i="13"/>
  <c r="I106" i="14"/>
  <c r="S107" i="1"/>
  <c r="Q107" i="1"/>
  <c r="H106" i="16"/>
  <c r="H106" i="15"/>
  <c r="H106" i="14"/>
  <c r="H106" i="13"/>
  <c r="G106" i="14"/>
  <c r="G106" i="16"/>
  <c r="G106" i="15"/>
  <c r="G106" i="13"/>
  <c r="F53" i="1"/>
  <c r="N89" i="1"/>
  <c r="N108" i="1" s="1"/>
  <c r="S89" i="1"/>
  <c r="J89" i="1"/>
  <c r="J108" i="1" s="1"/>
  <c r="Q89" i="1"/>
  <c r="Q108" i="1" s="1"/>
  <c r="G89" i="1"/>
  <c r="G108" i="1" s="1"/>
  <c r="P89" i="1"/>
  <c r="P108" i="1" s="1"/>
  <c r="M89" i="1"/>
  <c r="M108" i="1" s="1"/>
  <c r="I89" i="1"/>
  <c r="I108" i="1" s="1"/>
  <c r="R89" i="1"/>
  <c r="O89" i="1"/>
  <c r="O108" i="1" s="1"/>
  <c r="K89" i="1"/>
  <c r="K108" i="1" s="1"/>
  <c r="H89" i="1"/>
  <c r="H108" i="1" s="1"/>
  <c r="L89" i="1"/>
  <c r="L108" i="1" s="1"/>
  <c r="T89" i="1"/>
  <c r="U89" i="1"/>
  <c r="U108" i="1" s="1"/>
  <c r="Q102" i="15"/>
  <c r="Q103" i="16"/>
  <c r="P103" i="16"/>
  <c r="N85" i="16"/>
  <c r="J85" i="16"/>
  <c r="U85" i="16"/>
  <c r="U104" i="16" s="1"/>
  <c r="M85" i="16"/>
  <c r="M104" i="16" s="1"/>
  <c r="I85" i="16"/>
  <c r="P85" i="16"/>
  <c r="H85" i="16"/>
  <c r="F50" i="16"/>
  <c r="O85" i="16"/>
  <c r="G85" i="16"/>
  <c r="K85" i="16"/>
  <c r="T85" i="16"/>
  <c r="T104" i="16" s="1"/>
  <c r="L85" i="16"/>
  <c r="L104" i="16" s="1"/>
  <c r="R85" i="16"/>
  <c r="Q85" i="16"/>
  <c r="S85" i="16"/>
  <c r="K102" i="16"/>
  <c r="K102" i="15"/>
  <c r="E68" i="16"/>
  <c r="F67" i="16"/>
  <c r="F85" i="16" s="1"/>
  <c r="O103" i="16"/>
  <c r="T48" i="16"/>
  <c r="E49" i="16"/>
  <c r="U48" i="16"/>
  <c r="R103" i="16"/>
  <c r="M103" i="16"/>
  <c r="N103" i="16"/>
  <c r="F84" i="15"/>
  <c r="J102" i="15"/>
  <c r="J102" i="14"/>
  <c r="E68" i="15"/>
  <c r="F67" i="15"/>
  <c r="J101" i="15"/>
  <c r="J101" i="14"/>
  <c r="N102" i="15"/>
  <c r="U48" i="15"/>
  <c r="T48" i="15"/>
  <c r="E49" i="15"/>
  <c r="O102" i="15"/>
  <c r="S84" i="15"/>
  <c r="K84" i="15"/>
  <c r="G84" i="15"/>
  <c r="N84" i="15"/>
  <c r="J84" i="15"/>
  <c r="H84" i="15"/>
  <c r="U84" i="15"/>
  <c r="M84" i="15"/>
  <c r="M103" i="15" s="1"/>
  <c r="T84" i="15"/>
  <c r="T103" i="15" s="1"/>
  <c r="L84" i="15"/>
  <c r="L103" i="15" s="1"/>
  <c r="F49" i="15"/>
  <c r="I84" i="15"/>
  <c r="O84" i="15"/>
  <c r="P84" i="15"/>
  <c r="Q84" i="15"/>
  <c r="R84" i="15"/>
  <c r="P102" i="15"/>
  <c r="M102" i="15"/>
  <c r="U49" i="14"/>
  <c r="T49" i="14"/>
  <c r="E50" i="14"/>
  <c r="O102" i="14"/>
  <c r="T102" i="14"/>
  <c r="F84" i="14"/>
  <c r="N102" i="14"/>
  <c r="S102" i="14"/>
  <c r="R102" i="14"/>
  <c r="E68" i="14"/>
  <c r="F67" i="14"/>
  <c r="Q102" i="14"/>
  <c r="U84" i="14"/>
  <c r="U103" i="14" s="1"/>
  <c r="M84" i="14"/>
  <c r="I84" i="14"/>
  <c r="T84" i="14"/>
  <c r="T103" i="14" s="1"/>
  <c r="L84" i="14"/>
  <c r="L103" i="14" s="1"/>
  <c r="H84" i="14"/>
  <c r="S84" i="14"/>
  <c r="S103" i="14" s="1"/>
  <c r="K84" i="14"/>
  <c r="G84" i="14"/>
  <c r="N84" i="14"/>
  <c r="J84" i="14"/>
  <c r="F49" i="14"/>
  <c r="P84" i="14"/>
  <c r="O84" i="14"/>
  <c r="Q84" i="14"/>
  <c r="R84" i="14"/>
  <c r="M102" i="14"/>
  <c r="P102" i="14"/>
  <c r="L102" i="14"/>
  <c r="U102" i="14"/>
  <c r="Q102" i="13"/>
  <c r="R102" i="13"/>
  <c r="T102" i="13"/>
  <c r="P102" i="13"/>
  <c r="T49" i="13"/>
  <c r="E50" i="13"/>
  <c r="U49" i="13"/>
  <c r="K102" i="13"/>
  <c r="N102" i="13"/>
  <c r="T84" i="13"/>
  <c r="T103" i="13" s="1"/>
  <c r="L84" i="13"/>
  <c r="L103" i="13" s="1"/>
  <c r="H84" i="13"/>
  <c r="S84" i="13"/>
  <c r="S103" i="13" s="1"/>
  <c r="K84" i="13"/>
  <c r="K103" i="13" s="1"/>
  <c r="G84" i="13"/>
  <c r="N84" i="13"/>
  <c r="J84" i="13"/>
  <c r="J103" i="13" s="1"/>
  <c r="J103" i="16" s="1"/>
  <c r="M84" i="13"/>
  <c r="M103" i="13" s="1"/>
  <c r="F49" i="13"/>
  <c r="I84" i="13"/>
  <c r="U84" i="13"/>
  <c r="O84" i="13"/>
  <c r="P84" i="13"/>
  <c r="Q84" i="13"/>
  <c r="R84" i="13"/>
  <c r="M102" i="13"/>
  <c r="E69" i="13"/>
  <c r="F68" i="13"/>
  <c r="F84" i="13"/>
  <c r="O102" i="13"/>
  <c r="T108" i="1" l="1"/>
  <c r="R108" i="1"/>
  <c r="I107" i="15"/>
  <c r="I107" i="13"/>
  <c r="I107" i="16"/>
  <c r="I107" i="14"/>
  <c r="H107" i="14"/>
  <c r="H107" i="15"/>
  <c r="H107" i="13"/>
  <c r="H107" i="16"/>
  <c r="G107" i="14"/>
  <c r="G107" i="16"/>
  <c r="G107" i="15"/>
  <c r="G107" i="13"/>
  <c r="F54" i="1"/>
  <c r="N90" i="1"/>
  <c r="N109" i="1" s="1"/>
  <c r="J90" i="1"/>
  <c r="J109" i="1" s="1"/>
  <c r="S90" i="1"/>
  <c r="K90" i="1"/>
  <c r="K109" i="1" s="1"/>
  <c r="U90" i="1"/>
  <c r="U109" i="1" s="1"/>
  <c r="L90" i="1"/>
  <c r="L109" i="1" s="1"/>
  <c r="H90" i="1"/>
  <c r="H109" i="1" s="1"/>
  <c r="Q90" i="1"/>
  <c r="Q109" i="1" s="1"/>
  <c r="G90" i="1"/>
  <c r="G109" i="1" s="1"/>
  <c r="T90" i="1"/>
  <c r="T109" i="1" s="1"/>
  <c r="M90" i="1"/>
  <c r="M109" i="1" s="1"/>
  <c r="I90" i="1"/>
  <c r="I109" i="1" s="1"/>
  <c r="R90" i="1"/>
  <c r="R109" i="1" s="1"/>
  <c r="P90" i="1"/>
  <c r="P109" i="1" s="1"/>
  <c r="O90" i="1"/>
  <c r="O109" i="1" s="1"/>
  <c r="S108" i="1"/>
  <c r="S104" i="16"/>
  <c r="Q104" i="16"/>
  <c r="O104" i="16"/>
  <c r="N104" i="16"/>
  <c r="F68" i="16"/>
  <c r="F86" i="16" s="1"/>
  <c r="E69" i="16"/>
  <c r="U86" i="16"/>
  <c r="U105" i="16" s="1"/>
  <c r="M86" i="16"/>
  <c r="M105" i="16" s="1"/>
  <c r="I86" i="16"/>
  <c r="P86" i="16"/>
  <c r="L86" i="16"/>
  <c r="H86" i="16"/>
  <c r="O86" i="16"/>
  <c r="O105" i="16" s="1"/>
  <c r="G86" i="16"/>
  <c r="F51" i="16"/>
  <c r="N86" i="16"/>
  <c r="N105" i="16" s="1"/>
  <c r="J86" i="16"/>
  <c r="K86" i="16"/>
  <c r="Q86" i="16"/>
  <c r="R86" i="16"/>
  <c r="S86" i="16"/>
  <c r="T86" i="16"/>
  <c r="T49" i="16"/>
  <c r="E50" i="16"/>
  <c r="U49" i="16"/>
  <c r="R104" i="16"/>
  <c r="P104" i="16"/>
  <c r="P103" i="15"/>
  <c r="T49" i="15"/>
  <c r="U49" i="15"/>
  <c r="E50" i="15"/>
  <c r="F85" i="15"/>
  <c r="O103" i="15"/>
  <c r="S103" i="15"/>
  <c r="F68" i="15"/>
  <c r="E69" i="15"/>
  <c r="J103" i="15"/>
  <c r="J103" i="14"/>
  <c r="R103" i="15"/>
  <c r="N103" i="15"/>
  <c r="Q103" i="15"/>
  <c r="N85" i="15"/>
  <c r="N104" i="15" s="1"/>
  <c r="J85" i="15"/>
  <c r="U85" i="15"/>
  <c r="U104" i="15" s="1"/>
  <c r="M85" i="15"/>
  <c r="M104" i="15" s="1"/>
  <c r="I85" i="15"/>
  <c r="O85" i="15"/>
  <c r="G85" i="15"/>
  <c r="T85" i="15"/>
  <c r="T104" i="15" s="1"/>
  <c r="L85" i="15"/>
  <c r="L104" i="15" s="1"/>
  <c r="K85" i="15"/>
  <c r="H85" i="15"/>
  <c r="F50" i="15"/>
  <c r="Q85" i="15"/>
  <c r="R85" i="15"/>
  <c r="P85" i="15"/>
  <c r="S85" i="15"/>
  <c r="U103" i="15"/>
  <c r="Q103" i="14"/>
  <c r="F85" i="14"/>
  <c r="O103" i="14"/>
  <c r="P103" i="14"/>
  <c r="E69" i="14"/>
  <c r="F68" i="14"/>
  <c r="R103" i="14"/>
  <c r="T85" i="14"/>
  <c r="T104" i="14" s="1"/>
  <c r="L85" i="14"/>
  <c r="H85" i="14"/>
  <c r="O85" i="14"/>
  <c r="K85" i="14"/>
  <c r="K104" i="14" s="1"/>
  <c r="G85" i="14"/>
  <c r="N85" i="14"/>
  <c r="N104" i="14" s="1"/>
  <c r="J85" i="14"/>
  <c r="U85" i="14"/>
  <c r="M85" i="14"/>
  <c r="M104" i="14" s="1"/>
  <c r="I85" i="14"/>
  <c r="F50" i="14"/>
  <c r="Q85" i="14"/>
  <c r="P85" i="14"/>
  <c r="R85" i="14"/>
  <c r="S85" i="14"/>
  <c r="K103" i="14"/>
  <c r="U50" i="14"/>
  <c r="T50" i="14"/>
  <c r="E51" i="14"/>
  <c r="N103" i="14"/>
  <c r="M103" i="14"/>
  <c r="Q103" i="13"/>
  <c r="P103" i="13"/>
  <c r="O85" i="13"/>
  <c r="K85" i="13"/>
  <c r="G85" i="13"/>
  <c r="N85" i="13"/>
  <c r="N104" i="13" s="1"/>
  <c r="J85" i="13"/>
  <c r="J104" i="13" s="1"/>
  <c r="J104" i="16" s="1"/>
  <c r="U85" i="13"/>
  <c r="U104" i="13" s="1"/>
  <c r="M85" i="13"/>
  <c r="M104" i="13" s="1"/>
  <c r="I85" i="13"/>
  <c r="L85" i="13"/>
  <c r="L104" i="13" s="1"/>
  <c r="F50" i="13"/>
  <c r="F86" i="13" s="1"/>
  <c r="H85" i="13"/>
  <c r="T85" i="13"/>
  <c r="T104" i="13" s="1"/>
  <c r="P85" i="13"/>
  <c r="Q85" i="13"/>
  <c r="R85" i="13"/>
  <c r="S85" i="13"/>
  <c r="E70" i="13"/>
  <c r="F69" i="13"/>
  <c r="N103" i="13"/>
  <c r="O103" i="13"/>
  <c r="R103" i="13"/>
  <c r="U103" i="13"/>
  <c r="F85" i="13"/>
  <c r="T50" i="13"/>
  <c r="E51" i="13"/>
  <c r="U50" i="13"/>
  <c r="S109" i="1" l="1"/>
  <c r="H108" i="14"/>
  <c r="H108" i="13"/>
  <c r="H108" i="15"/>
  <c r="H108" i="16"/>
  <c r="F55" i="1"/>
  <c r="N91" i="1"/>
  <c r="N110" i="1" s="1"/>
  <c r="L91" i="1"/>
  <c r="L110" i="1" s="1"/>
  <c r="J91" i="1"/>
  <c r="J110" i="1" s="1"/>
  <c r="Q91" i="1"/>
  <c r="Q110" i="1" s="1"/>
  <c r="M91" i="1"/>
  <c r="M110" i="1" s="1"/>
  <c r="I91" i="1"/>
  <c r="I110" i="1" s="1"/>
  <c r="R91" i="1"/>
  <c r="R110" i="1" s="1"/>
  <c r="O91" i="1"/>
  <c r="O110" i="1" s="1"/>
  <c r="G91" i="1"/>
  <c r="G110" i="1" s="1"/>
  <c r="P91" i="1"/>
  <c r="P110" i="1" s="1"/>
  <c r="H91" i="1"/>
  <c r="H110" i="1" s="1"/>
  <c r="K91" i="1"/>
  <c r="K110" i="1" s="1"/>
  <c r="S91" i="1"/>
  <c r="S110" i="1" s="1"/>
  <c r="T91" i="1"/>
  <c r="U91" i="1"/>
  <c r="U110" i="1" s="1"/>
  <c r="I108" i="13"/>
  <c r="I108" i="15"/>
  <c r="I108" i="16"/>
  <c r="I108" i="14"/>
  <c r="G108" i="14"/>
  <c r="G108" i="13"/>
  <c r="G108" i="15"/>
  <c r="G108" i="16"/>
  <c r="Q104" i="13"/>
  <c r="S105" i="16"/>
  <c r="Q105" i="16"/>
  <c r="R105" i="16"/>
  <c r="K103" i="16"/>
  <c r="K103" i="15"/>
  <c r="K104" i="16"/>
  <c r="K104" i="15"/>
  <c r="P87" i="16"/>
  <c r="P106" i="16" s="1"/>
  <c r="L87" i="16"/>
  <c r="L106" i="16" s="1"/>
  <c r="H87" i="16"/>
  <c r="O87" i="16"/>
  <c r="O106" i="16" s="1"/>
  <c r="K87" i="16"/>
  <c r="G87" i="16"/>
  <c r="N87" i="16"/>
  <c r="N106" i="16" s="1"/>
  <c r="F52" i="16"/>
  <c r="M87" i="16"/>
  <c r="M106" i="16" s="1"/>
  <c r="I87" i="16"/>
  <c r="R87" i="16"/>
  <c r="Q87" i="16"/>
  <c r="J87" i="16"/>
  <c r="S87" i="16"/>
  <c r="T87" i="16"/>
  <c r="U87" i="16"/>
  <c r="U106" i="16" s="1"/>
  <c r="L105" i="16"/>
  <c r="T50" i="16"/>
  <c r="E51" i="16"/>
  <c r="U50" i="16"/>
  <c r="T105" i="16"/>
  <c r="P105" i="16"/>
  <c r="E70" i="16"/>
  <c r="F69" i="16"/>
  <c r="F87" i="16" s="1"/>
  <c r="R104" i="15"/>
  <c r="P104" i="15"/>
  <c r="Q104" i="15"/>
  <c r="F86" i="15"/>
  <c r="S104" i="15"/>
  <c r="U86" i="15"/>
  <c r="M86" i="15"/>
  <c r="M105" i="15" s="1"/>
  <c r="I86" i="15"/>
  <c r="P86" i="15"/>
  <c r="L86" i="15"/>
  <c r="L105" i="15" s="1"/>
  <c r="H86" i="15"/>
  <c r="N86" i="15"/>
  <c r="N105" i="15" s="1"/>
  <c r="K86" i="15"/>
  <c r="J86" i="15"/>
  <c r="O86" i="15"/>
  <c r="O105" i="15" s="1"/>
  <c r="G86" i="15"/>
  <c r="F51" i="15"/>
  <c r="Q86" i="15"/>
  <c r="R86" i="15"/>
  <c r="S86" i="15"/>
  <c r="T86" i="15"/>
  <c r="J104" i="15"/>
  <c r="J104" i="14"/>
  <c r="O104" i="15"/>
  <c r="E70" i="15"/>
  <c r="F69" i="15"/>
  <c r="T50" i="15"/>
  <c r="U50" i="15"/>
  <c r="E51" i="15"/>
  <c r="Q104" i="14"/>
  <c r="S104" i="14"/>
  <c r="O86" i="14"/>
  <c r="O105" i="14" s="1"/>
  <c r="K86" i="14"/>
  <c r="G86" i="14"/>
  <c r="N86" i="14"/>
  <c r="N105" i="14" s="1"/>
  <c r="J86" i="14"/>
  <c r="U86" i="14"/>
  <c r="U105" i="14" s="1"/>
  <c r="M86" i="14"/>
  <c r="I86" i="14"/>
  <c r="P86" i="14"/>
  <c r="L86" i="14"/>
  <c r="L105" i="14" s="1"/>
  <c r="H86" i="14"/>
  <c r="F51" i="14"/>
  <c r="R86" i="14"/>
  <c r="Q86" i="14"/>
  <c r="S86" i="14"/>
  <c r="T86" i="14"/>
  <c r="O104" i="14"/>
  <c r="U51" i="14"/>
  <c r="T51" i="14"/>
  <c r="E52" i="14"/>
  <c r="R104" i="14"/>
  <c r="F86" i="14"/>
  <c r="P104" i="14"/>
  <c r="L104" i="14"/>
  <c r="E70" i="14"/>
  <c r="F69" i="14"/>
  <c r="U104" i="14"/>
  <c r="E71" i="13"/>
  <c r="F70" i="13"/>
  <c r="N86" i="13"/>
  <c r="N105" i="13" s="1"/>
  <c r="J86" i="13"/>
  <c r="J105" i="13" s="1"/>
  <c r="J105" i="16" s="1"/>
  <c r="U86" i="13"/>
  <c r="U105" i="13" s="1"/>
  <c r="M86" i="13"/>
  <c r="M105" i="13" s="1"/>
  <c r="I86" i="13"/>
  <c r="P86" i="13"/>
  <c r="L86" i="13"/>
  <c r="L105" i="13" s="1"/>
  <c r="H86" i="13"/>
  <c r="K86" i="13"/>
  <c r="K105" i="13" s="1"/>
  <c r="F51" i="13"/>
  <c r="F87" i="13" s="1"/>
  <c r="G86" i="13"/>
  <c r="O86" i="13"/>
  <c r="O105" i="13" s="1"/>
  <c r="R86" i="13"/>
  <c r="Q86" i="13"/>
  <c r="S86" i="13"/>
  <c r="T86" i="13"/>
  <c r="K104" i="13"/>
  <c r="T51" i="13"/>
  <c r="E52" i="13"/>
  <c r="U51" i="13"/>
  <c r="P104" i="13"/>
  <c r="O104" i="13"/>
  <c r="S104" i="13"/>
  <c r="R104" i="13"/>
  <c r="T105" i="13" l="1"/>
  <c r="H109" i="13"/>
  <c r="H109" i="15"/>
  <c r="H109" i="16"/>
  <c r="H109" i="14"/>
  <c r="G109" i="16"/>
  <c r="G109" i="15"/>
  <c r="G109" i="14"/>
  <c r="G109" i="13"/>
  <c r="H92" i="1"/>
  <c r="H111" i="1" s="1"/>
  <c r="N92" i="1"/>
  <c r="J92" i="1"/>
  <c r="J111" i="1" s="1"/>
  <c r="P92" i="1"/>
  <c r="P111" i="1" s="1"/>
  <c r="S92" i="1"/>
  <c r="S111" i="1" s="1"/>
  <c r="Q92" i="1"/>
  <c r="Q111" i="1" s="1"/>
  <c r="R92" i="1"/>
  <c r="R111" i="1" s="1"/>
  <c r="K92" i="1"/>
  <c r="K111" i="1" s="1"/>
  <c r="I92" i="1"/>
  <c r="I111" i="1" s="1"/>
  <c r="O92" i="1"/>
  <c r="O111" i="1" s="1"/>
  <c r="G92" i="1"/>
  <c r="G111" i="1" s="1"/>
  <c r="T92" i="1"/>
  <c r="T111" i="1" s="1"/>
  <c r="L92" i="1"/>
  <c r="L111" i="1" s="1"/>
  <c r="M92" i="1"/>
  <c r="M111" i="1" s="1"/>
  <c r="U92" i="1"/>
  <c r="U111" i="1" s="1"/>
  <c r="T110" i="1"/>
  <c r="I109" i="14"/>
  <c r="I109" i="15"/>
  <c r="I109" i="16"/>
  <c r="I109" i="13"/>
  <c r="T105" i="15"/>
  <c r="T106" i="16"/>
  <c r="F87" i="15"/>
  <c r="T51" i="16"/>
  <c r="E52" i="16"/>
  <c r="U51" i="16"/>
  <c r="Q106" i="16"/>
  <c r="R88" i="16"/>
  <c r="Q88" i="16"/>
  <c r="Q107" i="16" s="1"/>
  <c r="O88" i="16"/>
  <c r="O107" i="16" s="1"/>
  <c r="K88" i="16"/>
  <c r="G88" i="16"/>
  <c r="N88" i="16"/>
  <c r="N107" i="16" s="1"/>
  <c r="J88" i="16"/>
  <c r="M88" i="16"/>
  <c r="M107" i="16" s="1"/>
  <c r="F53" i="16"/>
  <c r="L88" i="16"/>
  <c r="L107" i="16" s="1"/>
  <c r="P88" i="16"/>
  <c r="P107" i="16" s="1"/>
  <c r="H88" i="16"/>
  <c r="I88" i="16"/>
  <c r="S88" i="16"/>
  <c r="T88" i="16"/>
  <c r="U88" i="16"/>
  <c r="U107" i="16" s="1"/>
  <c r="E71" i="16"/>
  <c r="F70" i="16"/>
  <c r="F88" i="16" s="1"/>
  <c r="R106" i="16"/>
  <c r="S106" i="16"/>
  <c r="F87" i="14"/>
  <c r="T51" i="15"/>
  <c r="U51" i="15"/>
  <c r="E52" i="15"/>
  <c r="Q105" i="15"/>
  <c r="U105" i="15"/>
  <c r="P87" i="15"/>
  <c r="P106" i="15" s="1"/>
  <c r="L87" i="15"/>
  <c r="L106" i="15" s="1"/>
  <c r="H87" i="15"/>
  <c r="O87" i="15"/>
  <c r="O106" i="15" s="1"/>
  <c r="K87" i="15"/>
  <c r="G87" i="15"/>
  <c r="M87" i="15"/>
  <c r="M106" i="15" s="1"/>
  <c r="R87" i="15"/>
  <c r="J87" i="15"/>
  <c r="Q87" i="15"/>
  <c r="I87" i="15"/>
  <c r="N87" i="15"/>
  <c r="N106" i="15" s="1"/>
  <c r="F52" i="15"/>
  <c r="T87" i="15"/>
  <c r="S87" i="15"/>
  <c r="U87" i="15"/>
  <c r="U106" i="15" s="1"/>
  <c r="P105" i="15"/>
  <c r="S105" i="15"/>
  <c r="J105" i="15"/>
  <c r="J105" i="14"/>
  <c r="E71" i="15"/>
  <c r="F70" i="15"/>
  <c r="R105" i="15"/>
  <c r="T105" i="14"/>
  <c r="S105" i="14"/>
  <c r="R105" i="14"/>
  <c r="E71" i="14"/>
  <c r="F70" i="14"/>
  <c r="Q105" i="14"/>
  <c r="K105" i="14"/>
  <c r="P105" i="14"/>
  <c r="N87" i="14"/>
  <c r="N106" i="14" s="1"/>
  <c r="J87" i="14"/>
  <c r="Q87" i="14"/>
  <c r="M87" i="14"/>
  <c r="M106" i="14" s="1"/>
  <c r="I87" i="14"/>
  <c r="P87" i="14"/>
  <c r="P106" i="14" s="1"/>
  <c r="L87" i="14"/>
  <c r="L106" i="14" s="1"/>
  <c r="H87" i="14"/>
  <c r="O87" i="14"/>
  <c r="O106" i="14" s="1"/>
  <c r="K87" i="14"/>
  <c r="K106" i="14" s="1"/>
  <c r="G87" i="14"/>
  <c r="F52" i="14"/>
  <c r="R87" i="14"/>
  <c r="S87" i="14"/>
  <c r="T87" i="14"/>
  <c r="U87" i="14"/>
  <c r="U106" i="14" s="1"/>
  <c r="U52" i="14"/>
  <c r="T52" i="14"/>
  <c r="E53" i="14"/>
  <c r="M105" i="14"/>
  <c r="S105" i="13"/>
  <c r="F71" i="13"/>
  <c r="E72" i="13"/>
  <c r="Q105" i="13"/>
  <c r="Q87" i="13"/>
  <c r="M87" i="13"/>
  <c r="M106" i="13" s="1"/>
  <c r="I87" i="13"/>
  <c r="P87" i="13"/>
  <c r="P106" i="13" s="1"/>
  <c r="L87" i="13"/>
  <c r="L106" i="13" s="1"/>
  <c r="H87" i="13"/>
  <c r="O87" i="13"/>
  <c r="O106" i="13" s="1"/>
  <c r="K87" i="13"/>
  <c r="G87" i="13"/>
  <c r="J87" i="13"/>
  <c r="J106" i="13" s="1"/>
  <c r="J106" i="16" s="1"/>
  <c r="F52" i="13"/>
  <c r="N87" i="13"/>
  <c r="N106" i="13" s="1"/>
  <c r="R87" i="13"/>
  <c r="S87" i="13"/>
  <c r="T87" i="13"/>
  <c r="U87" i="13"/>
  <c r="U106" i="13" s="1"/>
  <c r="P105" i="13"/>
  <c r="T52" i="13"/>
  <c r="E53" i="13"/>
  <c r="U52" i="13"/>
  <c r="R105" i="13"/>
  <c r="I110" i="15" l="1"/>
  <c r="I110" i="16"/>
  <c r="I110" i="14"/>
  <c r="I110" i="13"/>
  <c r="H110" i="16"/>
  <c r="H110" i="13"/>
  <c r="H110" i="14"/>
  <c r="H110" i="15"/>
  <c r="G110" i="14"/>
  <c r="G110" i="15"/>
  <c r="G110" i="16"/>
  <c r="G110" i="13"/>
  <c r="N111" i="1"/>
  <c r="F88" i="15"/>
  <c r="T107" i="16"/>
  <c r="K105" i="16"/>
  <c r="K105" i="15"/>
  <c r="F71" i="16"/>
  <c r="F89" i="16" s="1"/>
  <c r="E72" i="16"/>
  <c r="S107" i="16"/>
  <c r="K106" i="16"/>
  <c r="K106" i="15"/>
  <c r="R89" i="16"/>
  <c r="R108" i="16" s="1"/>
  <c r="N89" i="16"/>
  <c r="N108" i="16" s="1"/>
  <c r="J89" i="16"/>
  <c r="Q89" i="16"/>
  <c r="Q108" i="16" s="1"/>
  <c r="M89" i="16"/>
  <c r="M108" i="16" s="1"/>
  <c r="I89" i="16"/>
  <c r="P89" i="16"/>
  <c r="P108" i="16" s="1"/>
  <c r="L89" i="16"/>
  <c r="L108" i="16" s="1"/>
  <c r="H89" i="16"/>
  <c r="K89" i="16"/>
  <c r="G89" i="16"/>
  <c r="S89" i="16"/>
  <c r="F54" i="16"/>
  <c r="O89" i="16"/>
  <c r="O108" i="16" s="1"/>
  <c r="T89" i="16"/>
  <c r="U89" i="16"/>
  <c r="U108" i="16" s="1"/>
  <c r="R107" i="16"/>
  <c r="T52" i="16"/>
  <c r="E53" i="16"/>
  <c r="U52" i="16"/>
  <c r="T106" i="15"/>
  <c r="E72" i="15"/>
  <c r="F71" i="15"/>
  <c r="R106" i="15"/>
  <c r="T52" i="15"/>
  <c r="U52" i="15"/>
  <c r="E53" i="15"/>
  <c r="S106" i="15"/>
  <c r="J106" i="15"/>
  <c r="J106" i="14"/>
  <c r="Q106" i="15"/>
  <c r="Q88" i="15"/>
  <c r="Q107" i="15" s="1"/>
  <c r="M88" i="15"/>
  <c r="M107" i="15" s="1"/>
  <c r="P88" i="15"/>
  <c r="P107" i="15" s="1"/>
  <c r="L88" i="15"/>
  <c r="L107" i="15" s="1"/>
  <c r="K88" i="15"/>
  <c r="G88" i="15"/>
  <c r="R88" i="15"/>
  <c r="J88" i="15"/>
  <c r="N88" i="15"/>
  <c r="N107" i="15" s="1"/>
  <c r="F53" i="15"/>
  <c r="I88" i="15"/>
  <c r="H88" i="15"/>
  <c r="O88" i="15"/>
  <c r="O107" i="15" s="1"/>
  <c r="S88" i="15"/>
  <c r="T88" i="15"/>
  <c r="U88" i="15"/>
  <c r="U107" i="15" s="1"/>
  <c r="S106" i="14"/>
  <c r="T106" i="13"/>
  <c r="R106" i="14"/>
  <c r="Q88" i="14"/>
  <c r="Q107" i="14" s="1"/>
  <c r="M88" i="14"/>
  <c r="M107" i="14" s="1"/>
  <c r="I88" i="14"/>
  <c r="P88" i="14"/>
  <c r="P107" i="14" s="1"/>
  <c r="L88" i="14"/>
  <c r="L107" i="14" s="1"/>
  <c r="R88" i="14"/>
  <c r="J88" i="14"/>
  <c r="O88" i="14"/>
  <c r="O107" i="14" s="1"/>
  <c r="H88" i="14"/>
  <c r="N88" i="14"/>
  <c r="N107" i="14" s="1"/>
  <c r="G88" i="14"/>
  <c r="K88" i="14"/>
  <c r="K107" i="14" s="1"/>
  <c r="F53" i="14"/>
  <c r="T88" i="14"/>
  <c r="S88" i="14"/>
  <c r="U88" i="14"/>
  <c r="U107" i="14" s="1"/>
  <c r="F88" i="14"/>
  <c r="U53" i="14"/>
  <c r="T53" i="14"/>
  <c r="E54" i="14"/>
  <c r="T106" i="14"/>
  <c r="Q106" i="14"/>
  <c r="F71" i="14"/>
  <c r="E72" i="14"/>
  <c r="S106" i="13"/>
  <c r="R106" i="13"/>
  <c r="Q106" i="13"/>
  <c r="K106" i="13"/>
  <c r="T53" i="13"/>
  <c r="E54" i="13"/>
  <c r="U53" i="13"/>
  <c r="P88" i="13"/>
  <c r="P107" i="13" s="1"/>
  <c r="L88" i="13"/>
  <c r="L107" i="13" s="1"/>
  <c r="H88" i="13"/>
  <c r="O88" i="13"/>
  <c r="O107" i="13" s="1"/>
  <c r="K88" i="13"/>
  <c r="K107" i="13" s="1"/>
  <c r="G88" i="13"/>
  <c r="R88" i="13"/>
  <c r="N88" i="13"/>
  <c r="N107" i="13" s="1"/>
  <c r="J88" i="13"/>
  <c r="J107" i="13" s="1"/>
  <c r="J107" i="16" s="1"/>
  <c r="I88" i="13"/>
  <c r="F53" i="13"/>
  <c r="Q88" i="13"/>
  <c r="Q107" i="13" s="1"/>
  <c r="M88" i="13"/>
  <c r="M107" i="13" s="1"/>
  <c r="S88" i="13"/>
  <c r="T88" i="13"/>
  <c r="U88" i="13"/>
  <c r="U107" i="13" s="1"/>
  <c r="F72" i="13"/>
  <c r="E73" i="13"/>
  <c r="F73" i="13" s="1"/>
  <c r="F88" i="13"/>
  <c r="Q90" i="16" l="1"/>
  <c r="Q109" i="16" s="1"/>
  <c r="M90" i="16"/>
  <c r="M109" i="16" s="1"/>
  <c r="I90" i="16"/>
  <c r="T90" i="16"/>
  <c r="P90" i="16"/>
  <c r="P109" i="16" s="1"/>
  <c r="L90" i="16"/>
  <c r="L109" i="16" s="1"/>
  <c r="H90" i="16"/>
  <c r="S90" i="16"/>
  <c r="S109" i="16" s="1"/>
  <c r="O90" i="16"/>
  <c r="O109" i="16" s="1"/>
  <c r="K90" i="16"/>
  <c r="G90" i="16"/>
  <c r="J90" i="16"/>
  <c r="F55" i="16"/>
  <c r="R90" i="16"/>
  <c r="R109" i="16" s="1"/>
  <c r="N90" i="16"/>
  <c r="N109" i="16" s="1"/>
  <c r="U90" i="16"/>
  <c r="U109" i="16" s="1"/>
  <c r="T53" i="16"/>
  <c r="E54" i="16"/>
  <c r="U53" i="16"/>
  <c r="S108" i="16"/>
  <c r="T108" i="16"/>
  <c r="E73" i="16"/>
  <c r="F73" i="16" s="1"/>
  <c r="F72" i="16"/>
  <c r="F90" i="16" s="1"/>
  <c r="K107" i="16"/>
  <c r="K107" i="15"/>
  <c r="T107" i="15"/>
  <c r="T107" i="13"/>
  <c r="S107" i="15"/>
  <c r="P89" i="15"/>
  <c r="P108" i="15" s="1"/>
  <c r="L89" i="15"/>
  <c r="L108" i="15" s="1"/>
  <c r="H89" i="15"/>
  <c r="S89" i="15"/>
  <c r="O89" i="15"/>
  <c r="O108" i="15" s="1"/>
  <c r="K89" i="15"/>
  <c r="G89" i="15"/>
  <c r="R89" i="15"/>
  <c r="R108" i="15" s="1"/>
  <c r="J89" i="15"/>
  <c r="Q89" i="15"/>
  <c r="Q108" i="15" s="1"/>
  <c r="I89" i="15"/>
  <c r="M89" i="15"/>
  <c r="M108" i="15" s="1"/>
  <c r="F54" i="15"/>
  <c r="N89" i="15"/>
  <c r="N108" i="15" s="1"/>
  <c r="T89" i="15"/>
  <c r="U89" i="15"/>
  <c r="U108" i="15" s="1"/>
  <c r="F89" i="15"/>
  <c r="J107" i="15"/>
  <c r="J107" i="14"/>
  <c r="U53" i="15"/>
  <c r="T53" i="15"/>
  <c r="E54" i="15"/>
  <c r="F72" i="15"/>
  <c r="E73" i="15"/>
  <c r="F73" i="15" s="1"/>
  <c r="R107" i="15"/>
  <c r="F89" i="14"/>
  <c r="T107" i="14"/>
  <c r="E73" i="14"/>
  <c r="F73" i="14" s="1"/>
  <c r="F72" i="14"/>
  <c r="P89" i="14"/>
  <c r="P108" i="14" s="1"/>
  <c r="L89" i="14"/>
  <c r="L108" i="14" s="1"/>
  <c r="H89" i="14"/>
  <c r="S89" i="14"/>
  <c r="O89" i="14"/>
  <c r="O108" i="14" s="1"/>
  <c r="K89" i="14"/>
  <c r="K108" i="14" s="1"/>
  <c r="G89" i="14"/>
  <c r="Q89" i="14"/>
  <c r="Q108" i="14" s="1"/>
  <c r="I89" i="14"/>
  <c r="N89" i="14"/>
  <c r="N108" i="14" s="1"/>
  <c r="M89" i="14"/>
  <c r="M108" i="14" s="1"/>
  <c r="R89" i="14"/>
  <c r="R108" i="14" s="1"/>
  <c r="J89" i="14"/>
  <c r="F54" i="14"/>
  <c r="T89" i="14"/>
  <c r="U89" i="14"/>
  <c r="U108" i="14" s="1"/>
  <c r="U54" i="14"/>
  <c r="T54" i="14"/>
  <c r="E55" i="14"/>
  <c r="S107" i="14"/>
  <c r="R107" i="14"/>
  <c r="R107" i="13"/>
  <c r="S107" i="13"/>
  <c r="R89" i="13"/>
  <c r="R108" i="13" s="1"/>
  <c r="N89" i="13"/>
  <c r="N108" i="13" s="1"/>
  <c r="J89" i="13"/>
  <c r="J108" i="13" s="1"/>
  <c r="J108" i="16" s="1"/>
  <c r="O89" i="13"/>
  <c r="O108" i="13" s="1"/>
  <c r="I89" i="13"/>
  <c r="S89" i="13"/>
  <c r="M89" i="13"/>
  <c r="M108" i="13" s="1"/>
  <c r="H89" i="13"/>
  <c r="Q89" i="13"/>
  <c r="Q108" i="13" s="1"/>
  <c r="L89" i="13"/>
  <c r="L108" i="13" s="1"/>
  <c r="G89" i="13"/>
  <c r="K89" i="13"/>
  <c r="K108" i="13" s="1"/>
  <c r="F54" i="13"/>
  <c r="F90" i="13" s="1"/>
  <c r="P89" i="13"/>
  <c r="P108" i="13" s="1"/>
  <c r="T89" i="13"/>
  <c r="U89" i="13"/>
  <c r="U108" i="13" s="1"/>
  <c r="T54" i="13"/>
  <c r="E55" i="13"/>
  <c r="U54" i="13"/>
  <c r="F89" i="13"/>
  <c r="F91" i="16" l="1"/>
  <c r="I53" i="16" s="1"/>
  <c r="T109" i="16"/>
  <c r="T54" i="16"/>
  <c r="E55" i="16"/>
  <c r="U54" i="16"/>
  <c r="K108" i="16"/>
  <c r="K108" i="15"/>
  <c r="T91" i="16"/>
  <c r="P91" i="16"/>
  <c r="L91" i="16"/>
  <c r="H91" i="16"/>
  <c r="S91" i="16"/>
  <c r="O91" i="16"/>
  <c r="K91" i="16"/>
  <c r="K92" i="16" s="1"/>
  <c r="V45" i="16" s="1"/>
  <c r="G91" i="16"/>
  <c r="G92" i="16" s="1"/>
  <c r="R91" i="16"/>
  <c r="N91" i="16"/>
  <c r="J91" i="16"/>
  <c r="J92" i="16" s="1"/>
  <c r="I91" i="16"/>
  <c r="U91" i="16"/>
  <c r="Q91" i="16"/>
  <c r="M91" i="16"/>
  <c r="F90" i="15"/>
  <c r="J108" i="15"/>
  <c r="J108" i="14"/>
  <c r="U54" i="15"/>
  <c r="T54" i="15"/>
  <c r="E55" i="15"/>
  <c r="S90" i="15"/>
  <c r="S109" i="15" s="1"/>
  <c r="O90" i="15"/>
  <c r="O109" i="15" s="1"/>
  <c r="K90" i="15"/>
  <c r="G90" i="15"/>
  <c r="R90" i="15"/>
  <c r="R109" i="15" s="1"/>
  <c r="N90" i="15"/>
  <c r="N109" i="15" s="1"/>
  <c r="J90" i="15"/>
  <c r="Q90" i="15"/>
  <c r="Q109" i="15" s="1"/>
  <c r="I90" i="15"/>
  <c r="P90" i="15"/>
  <c r="P109" i="15" s="1"/>
  <c r="H90" i="15"/>
  <c r="L90" i="15"/>
  <c r="L109" i="15" s="1"/>
  <c r="U90" i="15"/>
  <c r="U109" i="15" s="1"/>
  <c r="T90" i="15"/>
  <c r="F55" i="15"/>
  <c r="F91" i="15" s="1"/>
  <c r="M90" i="15"/>
  <c r="M109" i="15" s="1"/>
  <c r="S108" i="15"/>
  <c r="T108" i="15"/>
  <c r="S90" i="14"/>
  <c r="S109" i="14" s="1"/>
  <c r="O90" i="14"/>
  <c r="O109" i="14" s="1"/>
  <c r="K90" i="14"/>
  <c r="K109" i="14" s="1"/>
  <c r="G90" i="14"/>
  <c r="R90" i="14"/>
  <c r="R109" i="14" s="1"/>
  <c r="N90" i="14"/>
  <c r="N109" i="14" s="1"/>
  <c r="J90" i="14"/>
  <c r="P90" i="14"/>
  <c r="P109" i="14" s="1"/>
  <c r="H90" i="14"/>
  <c r="M90" i="14"/>
  <c r="M109" i="14" s="1"/>
  <c r="T90" i="14"/>
  <c r="L90" i="14"/>
  <c r="L109" i="14" s="1"/>
  <c r="Q90" i="14"/>
  <c r="Q109" i="14" s="1"/>
  <c r="I90" i="14"/>
  <c r="F55" i="14"/>
  <c r="F91" i="14" s="1"/>
  <c r="U90" i="14"/>
  <c r="U109" i="14" s="1"/>
  <c r="S108" i="14"/>
  <c r="F90" i="14"/>
  <c r="U55" i="14"/>
  <c r="T55" i="14"/>
  <c r="T108" i="14"/>
  <c r="T55" i="13"/>
  <c r="F35" i="13" s="1"/>
  <c r="U55" i="13"/>
  <c r="T108" i="13"/>
  <c r="S108" i="13"/>
  <c r="Q90" i="13"/>
  <c r="Q109" i="13" s="1"/>
  <c r="M90" i="13"/>
  <c r="M109" i="13" s="1"/>
  <c r="I90" i="13"/>
  <c r="S90" i="13"/>
  <c r="S109" i="13" s="1"/>
  <c r="N90" i="13"/>
  <c r="N109" i="13" s="1"/>
  <c r="H90" i="13"/>
  <c r="R90" i="13"/>
  <c r="R109" i="13" s="1"/>
  <c r="L90" i="13"/>
  <c r="L109" i="13" s="1"/>
  <c r="G90" i="13"/>
  <c r="P90" i="13"/>
  <c r="P109" i="13" s="1"/>
  <c r="K90" i="13"/>
  <c r="K109" i="13" s="1"/>
  <c r="O90" i="13"/>
  <c r="O109" i="13" s="1"/>
  <c r="F55" i="13"/>
  <c r="J90" i="13"/>
  <c r="J109" i="13" s="1"/>
  <c r="J109" i="16" s="1"/>
  <c r="T90" i="13"/>
  <c r="U90" i="13"/>
  <c r="U109" i="13" s="1"/>
  <c r="T109" i="13" l="1"/>
  <c r="I48" i="16"/>
  <c r="I55" i="16"/>
  <c r="I51" i="16"/>
  <c r="I54" i="16"/>
  <c r="I52" i="16"/>
  <c r="I49" i="16"/>
  <c r="I50" i="16"/>
  <c r="K109" i="16"/>
  <c r="K109" i="15"/>
  <c r="Q110" i="16"/>
  <c r="Q111" i="16" s="1"/>
  <c r="R51" i="16" s="1"/>
  <c r="N24" i="12" s="1"/>
  <c r="Q92" i="16"/>
  <c r="N110" i="16"/>
  <c r="N111" i="16" s="1"/>
  <c r="R48" i="16" s="1"/>
  <c r="N21" i="12" s="1"/>
  <c r="N92" i="16"/>
  <c r="O110" i="16"/>
  <c r="O111" i="16" s="1"/>
  <c r="R49" i="16" s="1"/>
  <c r="N22" i="12" s="1"/>
  <c r="O92" i="16"/>
  <c r="P110" i="16"/>
  <c r="P111" i="16" s="1"/>
  <c r="R50" i="16" s="1"/>
  <c r="N23" i="12" s="1"/>
  <c r="P92" i="16"/>
  <c r="T55" i="16"/>
  <c r="U55" i="16"/>
  <c r="U110" i="16"/>
  <c r="U111" i="16" s="1"/>
  <c r="R55" i="16" s="1"/>
  <c r="U92" i="16"/>
  <c r="K55" i="16" s="1"/>
  <c r="H55" i="16" s="1"/>
  <c r="R110" i="16"/>
  <c r="R111" i="16" s="1"/>
  <c r="R52" i="16" s="1"/>
  <c r="N25" i="12" s="1"/>
  <c r="R92" i="16"/>
  <c r="S110" i="16"/>
  <c r="S111" i="16" s="1"/>
  <c r="R53" i="16" s="1"/>
  <c r="N26" i="12" s="1"/>
  <c r="S92" i="16"/>
  <c r="T110" i="16"/>
  <c r="T111" i="16" s="1"/>
  <c r="R54" i="16" s="1"/>
  <c r="N27" i="12" s="1"/>
  <c r="T92" i="16"/>
  <c r="M110" i="16"/>
  <c r="M111" i="16" s="1"/>
  <c r="M92" i="16"/>
  <c r="L110" i="16"/>
  <c r="L111" i="16" s="1"/>
  <c r="L92" i="16"/>
  <c r="I55" i="15"/>
  <c r="I47" i="15"/>
  <c r="I48" i="15"/>
  <c r="I50" i="15"/>
  <c r="I53" i="15"/>
  <c r="I49" i="15"/>
  <c r="I54" i="15"/>
  <c r="I51" i="15"/>
  <c r="I52" i="15"/>
  <c r="T109" i="15"/>
  <c r="J109" i="15"/>
  <c r="J109" i="14"/>
  <c r="R91" i="15"/>
  <c r="N91" i="15"/>
  <c r="J91" i="15"/>
  <c r="J92" i="15" s="1"/>
  <c r="U91" i="15"/>
  <c r="Q91" i="15"/>
  <c r="M91" i="15"/>
  <c r="I91" i="15"/>
  <c r="P91" i="15"/>
  <c r="H91" i="15"/>
  <c r="O91" i="15"/>
  <c r="G91" i="15"/>
  <c r="G92" i="15" s="1"/>
  <c r="K91" i="15"/>
  <c r="T91" i="15"/>
  <c r="S91" i="15"/>
  <c r="L91" i="15"/>
  <c r="U55" i="15"/>
  <c r="T55" i="15"/>
  <c r="T109" i="14"/>
  <c r="R91" i="14"/>
  <c r="N91" i="14"/>
  <c r="J91" i="14"/>
  <c r="U91" i="14"/>
  <c r="Q91" i="14"/>
  <c r="M91" i="14"/>
  <c r="I91" i="14"/>
  <c r="O91" i="14"/>
  <c r="G91" i="14"/>
  <c r="G92" i="14" s="1"/>
  <c r="T91" i="14"/>
  <c r="L91" i="14"/>
  <c r="S91" i="14"/>
  <c r="K91" i="14"/>
  <c r="P91" i="14"/>
  <c r="H91" i="14"/>
  <c r="I54" i="14"/>
  <c r="I49" i="14"/>
  <c r="I46" i="14"/>
  <c r="I53" i="14"/>
  <c r="I52" i="14"/>
  <c r="I48" i="14"/>
  <c r="I50" i="14"/>
  <c r="I51" i="14"/>
  <c r="I55" i="14"/>
  <c r="I47" i="14"/>
  <c r="T91" i="13"/>
  <c r="P91" i="13"/>
  <c r="L91" i="13"/>
  <c r="H91" i="13"/>
  <c r="R91" i="13"/>
  <c r="N91" i="13"/>
  <c r="J91" i="13"/>
  <c r="Q91" i="13"/>
  <c r="I91" i="13"/>
  <c r="O91" i="13"/>
  <c r="G91" i="13"/>
  <c r="U91" i="13"/>
  <c r="M91" i="13"/>
  <c r="S91" i="13"/>
  <c r="K91" i="13"/>
  <c r="F91" i="13"/>
  <c r="R47" i="16" l="1"/>
  <c r="N20" i="12" s="1"/>
  <c r="U47" i="16"/>
  <c r="V55" i="16"/>
  <c r="K49" i="16"/>
  <c r="V49" i="16"/>
  <c r="K51" i="16"/>
  <c r="V51" i="16"/>
  <c r="K53" i="16"/>
  <c r="V53" i="16"/>
  <c r="K47" i="16"/>
  <c r="V47" i="16"/>
  <c r="K50" i="16"/>
  <c r="V50" i="16"/>
  <c r="K48" i="16"/>
  <c r="V48" i="16"/>
  <c r="V46" i="16"/>
  <c r="K54" i="16"/>
  <c r="H54" i="16" s="1"/>
  <c r="V54" i="16"/>
  <c r="K52" i="16"/>
  <c r="V52" i="16"/>
  <c r="S110" i="15"/>
  <c r="S111" i="15" s="1"/>
  <c r="R53" i="15" s="1"/>
  <c r="M26" i="12" s="1"/>
  <c r="S92" i="15"/>
  <c r="O110" i="15"/>
  <c r="O111" i="15" s="1"/>
  <c r="R49" i="15" s="1"/>
  <c r="M22" i="12" s="1"/>
  <c r="O92" i="15"/>
  <c r="M110" i="15"/>
  <c r="M111" i="15" s="1"/>
  <c r="R47" i="15" s="1"/>
  <c r="M20" i="12" s="1"/>
  <c r="M92" i="15"/>
  <c r="N110" i="15"/>
  <c r="N111" i="15" s="1"/>
  <c r="R48" i="15" s="1"/>
  <c r="M21" i="12" s="1"/>
  <c r="N92" i="15"/>
  <c r="T110" i="15"/>
  <c r="T111" i="15" s="1"/>
  <c r="R54" i="15" s="1"/>
  <c r="M27" i="12" s="1"/>
  <c r="T92" i="15"/>
  <c r="Q110" i="15"/>
  <c r="Q111" i="15" s="1"/>
  <c r="R51" i="15" s="1"/>
  <c r="M24" i="12" s="1"/>
  <c r="Q92" i="15"/>
  <c r="R110" i="15"/>
  <c r="R111" i="15" s="1"/>
  <c r="R52" i="15" s="1"/>
  <c r="M25" i="12" s="1"/>
  <c r="R92" i="15"/>
  <c r="K92" i="15"/>
  <c r="P110" i="15"/>
  <c r="P111" i="15" s="1"/>
  <c r="R50" i="15" s="1"/>
  <c r="M23" i="12" s="1"/>
  <c r="P92" i="15"/>
  <c r="U110" i="15"/>
  <c r="U111" i="15" s="1"/>
  <c r="R55" i="15" s="1"/>
  <c r="U92" i="15"/>
  <c r="L110" i="15"/>
  <c r="L111" i="15" s="1"/>
  <c r="L92" i="15"/>
  <c r="S110" i="14"/>
  <c r="S111" i="14" s="1"/>
  <c r="R53" i="14" s="1"/>
  <c r="S92" i="14"/>
  <c r="O110" i="14"/>
  <c r="O111" i="14" s="1"/>
  <c r="R49" i="14" s="1"/>
  <c r="O92" i="14"/>
  <c r="U110" i="14"/>
  <c r="U111" i="14" s="1"/>
  <c r="R55" i="14" s="1"/>
  <c r="U92" i="14"/>
  <c r="L110" i="14"/>
  <c r="L111" i="14" s="1"/>
  <c r="R46" i="14" s="1"/>
  <c r="L92" i="14"/>
  <c r="J92" i="14"/>
  <c r="P110" i="14"/>
  <c r="P111" i="14" s="1"/>
  <c r="R50" i="14" s="1"/>
  <c r="P92" i="14"/>
  <c r="T110" i="14"/>
  <c r="T111" i="14" s="1"/>
  <c r="R54" i="14" s="1"/>
  <c r="T92" i="14"/>
  <c r="M110" i="14"/>
  <c r="M111" i="14" s="1"/>
  <c r="R47" i="14" s="1"/>
  <c r="M92" i="14"/>
  <c r="N110" i="14"/>
  <c r="N111" i="14" s="1"/>
  <c r="R48" i="14" s="1"/>
  <c r="N92" i="14"/>
  <c r="K110" i="14"/>
  <c r="K92" i="14"/>
  <c r="Q110" i="14"/>
  <c r="Q111" i="14" s="1"/>
  <c r="R51" i="14" s="1"/>
  <c r="Q92" i="14"/>
  <c r="R110" i="14"/>
  <c r="R111" i="14" s="1"/>
  <c r="R52" i="14" s="1"/>
  <c r="R92" i="14"/>
  <c r="U110" i="13"/>
  <c r="U111" i="13" s="1"/>
  <c r="R55" i="13" s="1"/>
  <c r="U92" i="13"/>
  <c r="H92" i="13"/>
  <c r="K110" i="13"/>
  <c r="K111" i="13" s="1"/>
  <c r="R45" i="13" s="1"/>
  <c r="M18" i="9" s="1"/>
  <c r="K92" i="13"/>
  <c r="G92" i="13"/>
  <c r="J110" i="13"/>
  <c r="J110" i="16" s="1"/>
  <c r="J111" i="16" s="1"/>
  <c r="U44" i="16" s="1"/>
  <c r="J92" i="13"/>
  <c r="L110" i="13"/>
  <c r="L111" i="13" s="1"/>
  <c r="R46" i="13" s="1"/>
  <c r="M19" i="9" s="1"/>
  <c r="L92" i="13"/>
  <c r="I55" i="13"/>
  <c r="I45" i="13"/>
  <c r="I46" i="13"/>
  <c r="I50" i="13"/>
  <c r="I52" i="13"/>
  <c r="I49" i="13"/>
  <c r="I53" i="13"/>
  <c r="I48" i="13"/>
  <c r="I51" i="13"/>
  <c r="I47" i="13"/>
  <c r="I54" i="13"/>
  <c r="N110" i="13"/>
  <c r="N111" i="13" s="1"/>
  <c r="R48" i="13" s="1"/>
  <c r="M21" i="9" s="1"/>
  <c r="N92" i="13"/>
  <c r="P110" i="13"/>
  <c r="P111" i="13" s="1"/>
  <c r="R50" i="13" s="1"/>
  <c r="M23" i="9" s="1"/>
  <c r="P92" i="13"/>
  <c r="Q110" i="13"/>
  <c r="Q111" i="13" s="1"/>
  <c r="R51" i="13" s="1"/>
  <c r="M24" i="9" s="1"/>
  <c r="Q92" i="13"/>
  <c r="S110" i="13"/>
  <c r="S111" i="13" s="1"/>
  <c r="R53" i="13" s="1"/>
  <c r="M26" i="9" s="1"/>
  <c r="S92" i="13"/>
  <c r="O110" i="13"/>
  <c r="O111" i="13" s="1"/>
  <c r="R49" i="13" s="1"/>
  <c r="M22" i="9" s="1"/>
  <c r="O92" i="13"/>
  <c r="M110" i="13"/>
  <c r="M111" i="13" s="1"/>
  <c r="R47" i="13" s="1"/>
  <c r="M20" i="9" s="1"/>
  <c r="M92" i="13"/>
  <c r="I92" i="13"/>
  <c r="R110" i="13"/>
  <c r="R111" i="13" s="1"/>
  <c r="R52" i="13" s="1"/>
  <c r="M25" i="9" s="1"/>
  <c r="R92" i="13"/>
  <c r="T110" i="13"/>
  <c r="T111" i="13" s="1"/>
  <c r="R54" i="13" s="1"/>
  <c r="M27" i="9" s="1"/>
  <c r="T92" i="13"/>
  <c r="H34" i="1"/>
  <c r="F34" i="1"/>
  <c r="G34" i="1"/>
  <c r="T39" i="1"/>
  <c r="T41" i="1"/>
  <c r="V39" i="1"/>
  <c r="U39" i="1"/>
  <c r="U41" i="1"/>
  <c r="R46" i="15" l="1"/>
  <c r="M19" i="12" s="1"/>
  <c r="U46" i="15"/>
  <c r="N22" i="9"/>
  <c r="L22" i="12"/>
  <c r="L19" i="12"/>
  <c r="N19" i="9"/>
  <c r="L25" i="12"/>
  <c r="N25" i="9"/>
  <c r="N20" i="9"/>
  <c r="L20" i="12"/>
  <c r="L23" i="12"/>
  <c r="N23" i="9"/>
  <c r="N26" i="9"/>
  <c r="L26" i="12"/>
  <c r="N24" i="9"/>
  <c r="L24" i="12"/>
  <c r="L21" i="12"/>
  <c r="N21" i="9"/>
  <c r="L27" i="12"/>
  <c r="N27" i="9"/>
  <c r="G35" i="16"/>
  <c r="H52" i="16"/>
  <c r="K111" i="14"/>
  <c r="K110" i="16"/>
  <c r="K111" i="16" s="1"/>
  <c r="K110" i="15"/>
  <c r="K111" i="15" s="1"/>
  <c r="H50" i="16"/>
  <c r="H53" i="16"/>
  <c r="H49" i="16"/>
  <c r="H35" i="16"/>
  <c r="H48" i="16"/>
  <c r="H51" i="16"/>
  <c r="K50" i="15"/>
  <c r="V50" i="15"/>
  <c r="V52" i="15"/>
  <c r="K52" i="15"/>
  <c r="K54" i="15"/>
  <c r="V54" i="15"/>
  <c r="K48" i="15"/>
  <c r="V48" i="15"/>
  <c r="V49" i="15"/>
  <c r="K49" i="15"/>
  <c r="V46" i="15"/>
  <c r="K46" i="15"/>
  <c r="K46" i="16" s="1"/>
  <c r="K55" i="15"/>
  <c r="H55" i="15" s="1"/>
  <c r="V55" i="15"/>
  <c r="V45" i="15"/>
  <c r="K51" i="15"/>
  <c r="V51" i="15"/>
  <c r="V47" i="15"/>
  <c r="K47" i="15"/>
  <c r="K53" i="15"/>
  <c r="V53" i="15"/>
  <c r="J111" i="13"/>
  <c r="R44" i="13" s="1"/>
  <c r="J110" i="15"/>
  <c r="J111" i="15" s="1"/>
  <c r="U44" i="15" s="1"/>
  <c r="J110" i="14"/>
  <c r="J111" i="14" s="1"/>
  <c r="V47" i="14"/>
  <c r="K47" i="14"/>
  <c r="V50" i="14"/>
  <c r="K50" i="14"/>
  <c r="K55" i="14"/>
  <c r="H55" i="14" s="1"/>
  <c r="V55" i="14"/>
  <c r="V53" i="14"/>
  <c r="K53" i="14"/>
  <c r="K52" i="14"/>
  <c r="V52" i="14"/>
  <c r="V45" i="14"/>
  <c r="K45" i="14"/>
  <c r="K48" i="14"/>
  <c r="V48" i="14"/>
  <c r="K54" i="14"/>
  <c r="V54" i="14"/>
  <c r="U44" i="14"/>
  <c r="V49" i="14"/>
  <c r="K49" i="14"/>
  <c r="K51" i="14"/>
  <c r="V51" i="14"/>
  <c r="V46" i="14"/>
  <c r="K46" i="14"/>
  <c r="V42" i="13"/>
  <c r="K52" i="13"/>
  <c r="V52" i="13"/>
  <c r="V47" i="13"/>
  <c r="K47" i="13"/>
  <c r="K53" i="13"/>
  <c r="V53" i="13"/>
  <c r="K50" i="13"/>
  <c r="V50" i="13"/>
  <c r="K46" i="13"/>
  <c r="V46" i="13"/>
  <c r="V41" i="13"/>
  <c r="V44" i="13"/>
  <c r="K44" i="13"/>
  <c r="K44" i="16" s="1"/>
  <c r="V45" i="13"/>
  <c r="K45" i="13"/>
  <c r="K55" i="13"/>
  <c r="H55" i="13" s="1"/>
  <c r="V55" i="13"/>
  <c r="V54" i="13"/>
  <c r="K54" i="13"/>
  <c r="V43" i="13"/>
  <c r="K49" i="13"/>
  <c r="V49" i="13"/>
  <c r="V51" i="13"/>
  <c r="K51" i="13"/>
  <c r="K48" i="13"/>
  <c r="V48" i="13"/>
  <c r="H96" i="1"/>
  <c r="I96" i="1" s="1"/>
  <c r="J96" i="1" s="1"/>
  <c r="K96" i="1" s="1"/>
  <c r="L96" i="1" s="1"/>
  <c r="M96" i="1" s="1"/>
  <c r="N96" i="1" s="1"/>
  <c r="O96" i="1" s="1"/>
  <c r="P96" i="1" s="1"/>
  <c r="Q96" i="1" s="1"/>
  <c r="R96" i="1" s="1"/>
  <c r="S96" i="1" s="1"/>
  <c r="T96" i="1" s="1"/>
  <c r="U96" i="1" s="1"/>
  <c r="H77" i="1"/>
  <c r="I77" i="1" s="1"/>
  <c r="J77" i="1" s="1"/>
  <c r="K77" i="1" s="1"/>
  <c r="L77" i="1" s="1"/>
  <c r="M77" i="1" s="1"/>
  <c r="N77" i="1" l="1"/>
  <c r="O77" i="1" s="1"/>
  <c r="P77" i="1" s="1"/>
  <c r="Q77" i="1" s="1"/>
  <c r="R77" i="1" s="1"/>
  <c r="S77" i="1" s="1"/>
  <c r="T77" i="1" s="1"/>
  <c r="U77" i="1" s="1"/>
  <c r="G35" i="15"/>
  <c r="U44" i="13"/>
  <c r="G35" i="13" s="1"/>
  <c r="R46" i="16"/>
  <c r="N19" i="12" s="1"/>
  <c r="R45" i="14"/>
  <c r="L18" i="12" s="1"/>
  <c r="U45" i="14"/>
  <c r="G35" i="14" s="1"/>
  <c r="H54" i="14"/>
  <c r="R44" i="16"/>
  <c r="N17" i="12" s="1"/>
  <c r="M17" i="9"/>
  <c r="H53" i="15"/>
  <c r="K45" i="15"/>
  <c r="K45" i="16"/>
  <c r="K44" i="15"/>
  <c r="K44" i="14"/>
  <c r="H47" i="15"/>
  <c r="H52" i="15"/>
  <c r="H35" i="15"/>
  <c r="H48" i="15"/>
  <c r="H49" i="15"/>
  <c r="R44" i="15"/>
  <c r="M17" i="12" s="1"/>
  <c r="R44" i="14"/>
  <c r="H51" i="15"/>
  <c r="H54" i="15"/>
  <c r="H50" i="15"/>
  <c r="H46" i="14"/>
  <c r="H51" i="14"/>
  <c r="H49" i="14"/>
  <c r="H53" i="14"/>
  <c r="H50" i="14"/>
  <c r="H35" i="14"/>
  <c r="H47" i="14"/>
  <c r="H48" i="14"/>
  <c r="H52" i="14"/>
  <c r="H54" i="13"/>
  <c r="H53" i="13"/>
  <c r="H48" i="13"/>
  <c r="H49" i="13"/>
  <c r="H45" i="13"/>
  <c r="H47" i="13"/>
  <c r="H52" i="13"/>
  <c r="H50" i="13"/>
  <c r="H35" i="13"/>
  <c r="H51" i="13"/>
  <c r="H46" i="13"/>
  <c r="E40" i="9"/>
  <c r="E41" i="9" s="1"/>
  <c r="E42" i="9" s="1"/>
  <c r="E43" i="9" s="1"/>
  <c r="E44" i="9" s="1"/>
  <c r="E45" i="9" s="1"/>
  <c r="E46" i="9" s="1"/>
  <c r="E47" i="9" s="1"/>
  <c r="E48" i="9" s="1"/>
  <c r="E49" i="9" s="1"/>
  <c r="E50" i="9" s="1"/>
  <c r="E51" i="9" s="1"/>
  <c r="E52" i="9" s="1"/>
  <c r="E15" i="9"/>
  <c r="E16" i="9" s="1"/>
  <c r="E17" i="9" s="1"/>
  <c r="E18" i="9" s="1"/>
  <c r="E19" i="9" s="1"/>
  <c r="E20" i="9" s="1"/>
  <c r="E21" i="9" s="1"/>
  <c r="E22" i="9" s="1"/>
  <c r="E23" i="9" s="1"/>
  <c r="E24" i="9" s="1"/>
  <c r="E25" i="9" s="1"/>
  <c r="E26" i="9" s="1"/>
  <c r="E27" i="9" s="1"/>
  <c r="Q69" i="1"/>
  <c r="R69" i="1" s="1"/>
  <c r="S69" i="1" s="1"/>
  <c r="T69" i="1" s="1"/>
  <c r="P68" i="1"/>
  <c r="Q68" i="1" s="1"/>
  <c r="R68" i="1" s="1"/>
  <c r="S68" i="1" s="1"/>
  <c r="O67" i="1"/>
  <c r="N66" i="1"/>
  <c r="M65" i="1"/>
  <c r="N65" i="1" s="1"/>
  <c r="L64" i="1"/>
  <c r="M64" i="1" s="1"/>
  <c r="N64" i="1" s="1"/>
  <c r="K63" i="1"/>
  <c r="J62" i="1"/>
  <c r="K62" i="1" s="1"/>
  <c r="L62" i="1" s="1"/>
  <c r="M62" i="1" s="1"/>
  <c r="I61" i="1"/>
  <c r="I60" i="16" s="1"/>
  <c r="H60" i="1"/>
  <c r="H59" i="16" s="1"/>
  <c r="U78" i="1"/>
  <c r="U97" i="1" s="1"/>
  <c r="E42" i="1"/>
  <c r="X42" i="1" s="1"/>
  <c r="AC42" i="1" s="1"/>
  <c r="E98" i="1"/>
  <c r="E99" i="1" s="1"/>
  <c r="E100" i="1" s="1"/>
  <c r="E101" i="1" s="1"/>
  <c r="E102" i="1" s="1"/>
  <c r="E103" i="1" s="1"/>
  <c r="E104" i="1" s="1"/>
  <c r="E105" i="1" s="1"/>
  <c r="E106" i="1" s="1"/>
  <c r="E107" i="1" s="1"/>
  <c r="E108" i="1" s="1"/>
  <c r="E109" i="1" s="1"/>
  <c r="E110" i="1" s="1"/>
  <c r="E111" i="1" s="1"/>
  <c r="G78" i="1"/>
  <c r="E79" i="1"/>
  <c r="E80" i="1" s="1"/>
  <c r="E81" i="1" s="1"/>
  <c r="E82" i="1" s="1"/>
  <c r="E83" i="1" s="1"/>
  <c r="E84" i="1" s="1"/>
  <c r="E85" i="1" s="1"/>
  <c r="E86" i="1" s="1"/>
  <c r="E87" i="1" s="1"/>
  <c r="E88" i="1" s="1"/>
  <c r="E89" i="1" s="1"/>
  <c r="E90" i="1" s="1"/>
  <c r="E91" i="1" s="1"/>
  <c r="E92" i="1" s="1"/>
  <c r="H59" i="1"/>
  <c r="I59" i="1" s="1"/>
  <c r="J59" i="1" s="1"/>
  <c r="K59" i="1" s="1"/>
  <c r="L59" i="1" s="1"/>
  <c r="M59" i="1" s="1"/>
  <c r="N59" i="1" s="1"/>
  <c r="O59" i="1" s="1"/>
  <c r="P59" i="1" s="1"/>
  <c r="Q59" i="1" s="1"/>
  <c r="R59" i="1" s="1"/>
  <c r="S59" i="1" s="1"/>
  <c r="T59" i="1" s="1"/>
  <c r="U59" i="1" s="1"/>
  <c r="E61" i="1"/>
  <c r="E62" i="1" s="1"/>
  <c r="E63" i="1" s="1"/>
  <c r="E64" i="1" s="1"/>
  <c r="E65" i="1" s="1"/>
  <c r="E66" i="1" s="1"/>
  <c r="E67" i="1" s="1"/>
  <c r="E68" i="1" s="1"/>
  <c r="E69" i="1" s="1"/>
  <c r="E70" i="1" s="1"/>
  <c r="O66" i="1" l="1"/>
  <c r="P66" i="1" s="1"/>
  <c r="Q66" i="1" s="1"/>
  <c r="N84" i="1"/>
  <c r="O65" i="1"/>
  <c r="P65" i="1" s="1"/>
  <c r="N83" i="1"/>
  <c r="O64" i="1"/>
  <c r="N82" i="1"/>
  <c r="N18" i="9"/>
  <c r="R45" i="16"/>
  <c r="N18" i="12" s="1"/>
  <c r="R45" i="15"/>
  <c r="M18" i="12" s="1"/>
  <c r="N17" i="9"/>
  <c r="L17" i="12"/>
  <c r="H77" i="16"/>
  <c r="I78" i="16"/>
  <c r="F60" i="16"/>
  <c r="F78" i="16" s="1"/>
  <c r="J61" i="1"/>
  <c r="K61" i="1" s="1"/>
  <c r="L61" i="1" s="1"/>
  <c r="L79" i="1" s="1"/>
  <c r="I60" i="15"/>
  <c r="I60" i="14"/>
  <c r="H78" i="1"/>
  <c r="H59" i="15"/>
  <c r="H59" i="14"/>
  <c r="I35" i="13"/>
  <c r="E71" i="1"/>
  <c r="F70" i="1"/>
  <c r="F88" i="1" s="1"/>
  <c r="T42" i="1"/>
  <c r="U42" i="1"/>
  <c r="E43" i="1"/>
  <c r="X43" i="1" s="1"/>
  <c r="AC43" i="1" s="1"/>
  <c r="G79" i="1"/>
  <c r="I60" i="1"/>
  <c r="I59" i="16" s="1"/>
  <c r="I77" i="16" s="1"/>
  <c r="F69" i="1"/>
  <c r="P67" i="1"/>
  <c r="Q67" i="1" s="1"/>
  <c r="R67" i="1" s="1"/>
  <c r="L63" i="1"/>
  <c r="M63" i="1" s="1"/>
  <c r="N63" i="1" s="1"/>
  <c r="N81" i="1" s="1"/>
  <c r="N93" i="1" s="1"/>
  <c r="F66" i="1"/>
  <c r="F62" i="1"/>
  <c r="F65" i="1"/>
  <c r="F68" i="1"/>
  <c r="F64" i="1"/>
  <c r="U79" i="1"/>
  <c r="O79" i="1"/>
  <c r="S79" i="1"/>
  <c r="H79" i="1"/>
  <c r="P79" i="1"/>
  <c r="I79" i="1"/>
  <c r="M79" i="1"/>
  <c r="F61" i="1" l="1"/>
  <c r="F79" i="1" s="1"/>
  <c r="K79" i="1"/>
  <c r="J79" i="1"/>
  <c r="H98" i="1" s="1"/>
  <c r="I92" i="16"/>
  <c r="T43" i="16"/>
  <c r="H92" i="16"/>
  <c r="T42" i="16"/>
  <c r="F59" i="16"/>
  <c r="F77" i="16" s="1"/>
  <c r="H77" i="15"/>
  <c r="J60" i="1"/>
  <c r="K60" i="1" s="1"/>
  <c r="K78" i="1" s="1"/>
  <c r="I59" i="14"/>
  <c r="I77" i="14" s="1"/>
  <c r="I59" i="15"/>
  <c r="I77" i="15" s="1"/>
  <c r="I78" i="14"/>
  <c r="F60" i="14"/>
  <c r="F78" i="14" s="1"/>
  <c r="I78" i="15"/>
  <c r="F60" i="15"/>
  <c r="F78" i="15" s="1"/>
  <c r="H77" i="14"/>
  <c r="S98" i="1"/>
  <c r="U98" i="1"/>
  <c r="P98" i="1"/>
  <c r="O98" i="1"/>
  <c r="E72" i="1"/>
  <c r="F71" i="1"/>
  <c r="F89" i="1" s="1"/>
  <c r="T79" i="1"/>
  <c r="R79" i="1"/>
  <c r="T43" i="1"/>
  <c r="U43" i="1"/>
  <c r="E44" i="1"/>
  <c r="X44" i="1" s="1"/>
  <c r="AC44" i="1" s="1"/>
  <c r="Q79" i="1"/>
  <c r="H80" i="1"/>
  <c r="H99" i="1" s="1"/>
  <c r="M98" i="1"/>
  <c r="I98" i="1"/>
  <c r="G98" i="1"/>
  <c r="F67" i="1"/>
  <c r="F63" i="1"/>
  <c r="I78" i="1"/>
  <c r="S80" i="1"/>
  <c r="S99" i="1" s="1"/>
  <c r="F59" i="14" l="1"/>
  <c r="F77" i="14" s="1"/>
  <c r="F59" i="15"/>
  <c r="F77" i="15" s="1"/>
  <c r="F60" i="1"/>
  <c r="F78" i="1" s="1"/>
  <c r="J78" i="1"/>
  <c r="G97" i="1" s="1"/>
  <c r="F35" i="16"/>
  <c r="I35" i="16" s="1"/>
  <c r="G97" i="15"/>
  <c r="G97" i="16"/>
  <c r="H98" i="15"/>
  <c r="H98" i="16"/>
  <c r="H97" i="15"/>
  <c r="H97" i="16"/>
  <c r="I97" i="15"/>
  <c r="I97" i="16"/>
  <c r="T43" i="14"/>
  <c r="I92" i="14"/>
  <c r="T42" i="14"/>
  <c r="H92" i="14"/>
  <c r="I92" i="15"/>
  <c r="T43" i="15"/>
  <c r="H92" i="15"/>
  <c r="T42" i="15"/>
  <c r="G97" i="14"/>
  <c r="G97" i="13"/>
  <c r="H98" i="14"/>
  <c r="H98" i="13"/>
  <c r="H97" i="14"/>
  <c r="H97" i="13"/>
  <c r="I97" i="14"/>
  <c r="I97" i="13"/>
  <c r="N98" i="1"/>
  <c r="K98" i="1"/>
  <c r="T98" i="1"/>
  <c r="Q98" i="1"/>
  <c r="R98" i="1"/>
  <c r="L98" i="1"/>
  <c r="E73" i="1"/>
  <c r="F72" i="1"/>
  <c r="F90" i="1" s="1"/>
  <c r="J98" i="1"/>
  <c r="P80" i="1"/>
  <c r="U80" i="1"/>
  <c r="G80" i="1"/>
  <c r="Q80" i="1"/>
  <c r="Q99" i="1" s="1"/>
  <c r="N99" i="1"/>
  <c r="U44" i="1"/>
  <c r="T44" i="1"/>
  <c r="E45" i="1"/>
  <c r="X45" i="1" s="1"/>
  <c r="AC45" i="1" s="1"/>
  <c r="R80" i="1"/>
  <c r="R99" i="1" s="1"/>
  <c r="I80" i="1"/>
  <c r="T80" i="1"/>
  <c r="T99" i="1" s="1"/>
  <c r="K80" i="1"/>
  <c r="F80" i="1"/>
  <c r="L80" i="1"/>
  <c r="M80" i="1"/>
  <c r="J80" i="1"/>
  <c r="O80" i="1"/>
  <c r="G81" i="1"/>
  <c r="L78" i="1"/>
  <c r="L97" i="1" s="1"/>
  <c r="G96" i="15" l="1"/>
  <c r="G96" i="16"/>
  <c r="F35" i="15"/>
  <c r="I35" i="15" s="1"/>
  <c r="F35" i="14"/>
  <c r="I35" i="14" s="1"/>
  <c r="G96" i="14"/>
  <c r="G96" i="13"/>
  <c r="G99" i="1"/>
  <c r="U99" i="1"/>
  <c r="O99" i="1"/>
  <c r="P99" i="1"/>
  <c r="E74" i="1"/>
  <c r="F74" i="1" s="1"/>
  <c r="F92" i="1" s="1"/>
  <c r="I55" i="1" s="1"/>
  <c r="F73" i="1"/>
  <c r="F91" i="1" s="1"/>
  <c r="T45" i="1"/>
  <c r="U45" i="1"/>
  <c r="M99" i="1"/>
  <c r="P81" i="1"/>
  <c r="P100" i="1" s="1"/>
  <c r="L99" i="1"/>
  <c r="J99" i="1"/>
  <c r="K81" i="1"/>
  <c r="F81" i="1"/>
  <c r="M81" i="1"/>
  <c r="L81" i="1"/>
  <c r="H82" i="1"/>
  <c r="H101" i="1" s="1"/>
  <c r="I99" i="1"/>
  <c r="O81" i="1"/>
  <c r="O100" i="1" s="1"/>
  <c r="Q81" i="1"/>
  <c r="Q100" i="1" s="1"/>
  <c r="K99" i="1"/>
  <c r="E46" i="1"/>
  <c r="X46" i="1" s="1"/>
  <c r="AC46" i="1" s="1"/>
  <c r="U81" i="1"/>
  <c r="U100" i="1" s="1"/>
  <c r="J81" i="1"/>
  <c r="S81" i="1"/>
  <c r="T81" i="1"/>
  <c r="T100" i="1" s="1"/>
  <c r="H81" i="1"/>
  <c r="H100" i="1" s="1"/>
  <c r="R81" i="1"/>
  <c r="I81" i="1"/>
  <c r="I100" i="1" s="1"/>
  <c r="G100" i="1"/>
  <c r="H97" i="1"/>
  <c r="M78" i="1"/>
  <c r="I99" i="15" l="1"/>
  <c r="I99" i="16"/>
  <c r="H100" i="15"/>
  <c r="H100" i="16"/>
  <c r="H99" i="15"/>
  <c r="H99" i="16"/>
  <c r="G98" i="15"/>
  <c r="G98" i="16"/>
  <c r="H96" i="15"/>
  <c r="H96" i="16"/>
  <c r="G99" i="15"/>
  <c r="G99" i="16"/>
  <c r="I98" i="15"/>
  <c r="I98" i="16"/>
  <c r="H96" i="14"/>
  <c r="H96" i="13"/>
  <c r="H99" i="14"/>
  <c r="H99" i="13"/>
  <c r="G99" i="14"/>
  <c r="G99" i="13"/>
  <c r="I98" i="14"/>
  <c r="I98" i="13"/>
  <c r="I99" i="14"/>
  <c r="I99" i="13"/>
  <c r="H100" i="14"/>
  <c r="H100" i="13"/>
  <c r="G98" i="14"/>
  <c r="G98" i="13"/>
  <c r="I54" i="1"/>
  <c r="I52" i="1"/>
  <c r="I51" i="1"/>
  <c r="I53" i="1"/>
  <c r="R100" i="1"/>
  <c r="S100" i="1"/>
  <c r="T46" i="1"/>
  <c r="U46" i="1"/>
  <c r="Q82" i="1"/>
  <c r="Q101" i="1" s="1"/>
  <c r="J82" i="1"/>
  <c r="J101" i="1" s="1"/>
  <c r="P82" i="1"/>
  <c r="P101" i="1" s="1"/>
  <c r="G82" i="1"/>
  <c r="G101" i="1" s="1"/>
  <c r="F82" i="1"/>
  <c r="K82" i="1"/>
  <c r="T82" i="1"/>
  <c r="T101" i="1" s="1"/>
  <c r="O82" i="1"/>
  <c r="U83" i="1"/>
  <c r="U102" i="1" s="1"/>
  <c r="N100" i="1"/>
  <c r="U82" i="1"/>
  <c r="I82" i="1"/>
  <c r="I101" i="1" s="1"/>
  <c r="S82" i="1"/>
  <c r="S101" i="1" s="1"/>
  <c r="M82" i="1"/>
  <c r="R82" i="1"/>
  <c r="R101" i="1" s="1"/>
  <c r="L82" i="1"/>
  <c r="J100" i="1"/>
  <c r="K100" i="1"/>
  <c r="L100" i="1"/>
  <c r="M100" i="1"/>
  <c r="E47" i="1"/>
  <c r="X47" i="1" s="1"/>
  <c r="AC47" i="1" s="1"/>
  <c r="M97" i="1"/>
  <c r="I97" i="1"/>
  <c r="N97" i="1"/>
  <c r="J83" i="1"/>
  <c r="J102" i="1" s="1"/>
  <c r="I100" i="15" l="1"/>
  <c r="I100" i="16"/>
  <c r="G100" i="15"/>
  <c r="G100" i="16"/>
  <c r="I96" i="15"/>
  <c r="I96" i="16"/>
  <c r="I96" i="14"/>
  <c r="I96" i="13"/>
  <c r="G100" i="14"/>
  <c r="G100" i="13"/>
  <c r="I100" i="14"/>
  <c r="I100" i="13"/>
  <c r="U101" i="1"/>
  <c r="O83" i="1"/>
  <c r="H83" i="1"/>
  <c r="H102" i="1" s="1"/>
  <c r="T83" i="1"/>
  <c r="T102" i="1" s="1"/>
  <c r="K83" i="1"/>
  <c r="K102" i="1" s="1"/>
  <c r="Q84" i="1"/>
  <c r="F83" i="1"/>
  <c r="I83" i="1"/>
  <c r="I102" i="1" s="1"/>
  <c r="L83" i="1"/>
  <c r="P83" i="1"/>
  <c r="S83" i="1"/>
  <c r="Q83" i="1"/>
  <c r="G83" i="1"/>
  <c r="G102" i="1" s="1"/>
  <c r="R83" i="1"/>
  <c r="M83" i="1"/>
  <c r="U47" i="1"/>
  <c r="T47" i="1"/>
  <c r="L101" i="1"/>
  <c r="M101" i="1"/>
  <c r="N101" i="1"/>
  <c r="K101" i="1"/>
  <c r="O101" i="1"/>
  <c r="E48" i="1"/>
  <c r="X48" i="1" s="1"/>
  <c r="AC48" i="1" s="1"/>
  <c r="J97" i="1"/>
  <c r="U84" i="1"/>
  <c r="U103" i="1" s="1"/>
  <c r="O78" i="1"/>
  <c r="O97" i="1" s="1"/>
  <c r="L84" i="1"/>
  <c r="L103" i="1" s="1"/>
  <c r="P84" i="1"/>
  <c r="T84" i="1"/>
  <c r="T103" i="1" s="1"/>
  <c r="I101" i="15" l="1"/>
  <c r="I101" i="16"/>
  <c r="H101" i="15"/>
  <c r="H101" i="16"/>
  <c r="G101" i="15"/>
  <c r="G101" i="16"/>
  <c r="G101" i="14"/>
  <c r="G101" i="13"/>
  <c r="H101" i="14"/>
  <c r="H101" i="13"/>
  <c r="I101" i="14"/>
  <c r="I101" i="13"/>
  <c r="S102" i="1"/>
  <c r="R102" i="1"/>
  <c r="Q102" i="1"/>
  <c r="S84" i="1"/>
  <c r="S103" i="1" s="1"/>
  <c r="O84" i="1"/>
  <c r="J84" i="1"/>
  <c r="J103" i="1" s="1"/>
  <c r="H84" i="1"/>
  <c r="H103" i="1" s="1"/>
  <c r="R84" i="1"/>
  <c r="R103" i="1" s="1"/>
  <c r="F84" i="1"/>
  <c r="M84" i="1"/>
  <c r="I84" i="1"/>
  <c r="I103" i="1" s="1"/>
  <c r="G85" i="1"/>
  <c r="G84" i="1"/>
  <c r="G103" i="1" s="1"/>
  <c r="K84" i="1"/>
  <c r="K103" i="1" s="1"/>
  <c r="P102" i="1"/>
  <c r="M102" i="1"/>
  <c r="L102" i="1"/>
  <c r="N102" i="1"/>
  <c r="O102" i="1"/>
  <c r="T48" i="1"/>
  <c r="U48" i="1"/>
  <c r="E49" i="1"/>
  <c r="X49" i="1" s="1"/>
  <c r="AC49" i="1" s="1"/>
  <c r="K97" i="1"/>
  <c r="F86" i="1"/>
  <c r="H85" i="1"/>
  <c r="I85" i="1"/>
  <c r="I104" i="1" s="1"/>
  <c r="P85" i="1"/>
  <c r="J85" i="1"/>
  <c r="J104" i="1" s="1"/>
  <c r="P78" i="1"/>
  <c r="P97" i="1" s="1"/>
  <c r="L85" i="1"/>
  <c r="L104" i="1" s="1"/>
  <c r="M85" i="1"/>
  <c r="M104" i="1" s="1"/>
  <c r="S85" i="1"/>
  <c r="S104" i="1" s="1"/>
  <c r="T85" i="1"/>
  <c r="T104" i="1" s="1"/>
  <c r="O103" i="1" l="1"/>
  <c r="P103" i="1"/>
  <c r="Q103" i="1"/>
  <c r="G102" i="15"/>
  <c r="G102" i="16"/>
  <c r="I103" i="15"/>
  <c r="I103" i="16"/>
  <c r="I102" i="15"/>
  <c r="I102" i="16"/>
  <c r="H102" i="15"/>
  <c r="H102" i="16"/>
  <c r="I102" i="14"/>
  <c r="I102" i="13"/>
  <c r="I103" i="14"/>
  <c r="I103" i="13"/>
  <c r="H102" i="14"/>
  <c r="H102" i="13"/>
  <c r="G102" i="14"/>
  <c r="G102" i="13"/>
  <c r="N103" i="1"/>
  <c r="F85" i="1"/>
  <c r="K85" i="1"/>
  <c r="K104" i="1" s="1"/>
  <c r="Q85" i="1"/>
  <c r="U85" i="1"/>
  <c r="M103" i="1"/>
  <c r="R85" i="1"/>
  <c r="O85" i="1"/>
  <c r="T49" i="1"/>
  <c r="U49" i="1"/>
  <c r="E50" i="1"/>
  <c r="X50" i="1" s="1"/>
  <c r="AC50" i="1" s="1"/>
  <c r="H104" i="1"/>
  <c r="G104" i="1"/>
  <c r="G86" i="1"/>
  <c r="H86" i="1"/>
  <c r="K86" i="1"/>
  <c r="K105" i="1" s="1"/>
  <c r="J86" i="1"/>
  <c r="J105" i="1" s="1"/>
  <c r="L86" i="1"/>
  <c r="L105" i="1" s="1"/>
  <c r="N105" i="1"/>
  <c r="P86" i="1"/>
  <c r="M86" i="1"/>
  <c r="M105" i="1" s="1"/>
  <c r="R86" i="1"/>
  <c r="S86" i="1"/>
  <c r="T86" i="1"/>
  <c r="T105" i="1" s="1"/>
  <c r="I86" i="1"/>
  <c r="I105" i="1" s="1"/>
  <c r="O86" i="1"/>
  <c r="Q86" i="1"/>
  <c r="U86" i="1"/>
  <c r="U105" i="1" s="1"/>
  <c r="Q78" i="1"/>
  <c r="Q97" i="1" s="1"/>
  <c r="I104" i="15" l="1"/>
  <c r="I104" i="16"/>
  <c r="G103" i="15"/>
  <c r="G103" i="16"/>
  <c r="H103" i="15"/>
  <c r="H103" i="16"/>
  <c r="I104" i="14"/>
  <c r="I104" i="13"/>
  <c r="G103" i="14"/>
  <c r="G103" i="13"/>
  <c r="H103" i="14"/>
  <c r="H103" i="13"/>
  <c r="U104" i="1"/>
  <c r="N104" i="1"/>
  <c r="P104" i="1"/>
  <c r="O104" i="1"/>
  <c r="R104" i="1"/>
  <c r="Q104" i="1"/>
  <c r="T50" i="1"/>
  <c r="U50" i="1"/>
  <c r="H87" i="1"/>
  <c r="H93" i="1" s="1"/>
  <c r="K42" i="1" s="1"/>
  <c r="AA42" i="1" s="1"/>
  <c r="O105" i="1"/>
  <c r="E51" i="1"/>
  <c r="X51" i="1" s="1"/>
  <c r="AC51" i="1" s="1"/>
  <c r="R105" i="1"/>
  <c r="G105" i="1"/>
  <c r="P105" i="1"/>
  <c r="Q105" i="1"/>
  <c r="S105" i="1"/>
  <c r="H105" i="1"/>
  <c r="G87" i="1"/>
  <c r="G93" i="1" s="1"/>
  <c r="K41" i="1" s="1"/>
  <c r="AA41" i="1" s="1"/>
  <c r="K48" i="1"/>
  <c r="AA48" i="1" s="1"/>
  <c r="K87" i="1"/>
  <c r="K93" i="1" s="1"/>
  <c r="K45" i="1" s="1"/>
  <c r="AA45" i="1" s="1"/>
  <c r="R78" i="1"/>
  <c r="R97" i="1" s="1"/>
  <c r="H104" i="15" l="1"/>
  <c r="H104" i="16"/>
  <c r="K41" i="15"/>
  <c r="K41" i="16"/>
  <c r="G104" i="15"/>
  <c r="G104" i="16"/>
  <c r="K42" i="15"/>
  <c r="K42" i="16"/>
  <c r="K41" i="14"/>
  <c r="K41" i="13"/>
  <c r="H104" i="14"/>
  <c r="H104" i="13"/>
  <c r="G104" i="14"/>
  <c r="G104" i="13"/>
  <c r="K42" i="14"/>
  <c r="K42" i="13"/>
  <c r="S87" i="1"/>
  <c r="F87" i="1"/>
  <c r="R87" i="1"/>
  <c r="R93" i="1" s="1"/>
  <c r="U87" i="1"/>
  <c r="U93" i="1" s="1"/>
  <c r="O87" i="1"/>
  <c r="L87" i="1"/>
  <c r="T87" i="1"/>
  <c r="Q87" i="1"/>
  <c r="Q93" i="1" s="1"/>
  <c r="K51" i="1" s="1"/>
  <c r="AA51" i="1" s="1"/>
  <c r="P87" i="1"/>
  <c r="P93" i="1" s="1"/>
  <c r="K50" i="1" s="1"/>
  <c r="AA50" i="1" s="1"/>
  <c r="M87" i="1"/>
  <c r="M93" i="1" s="1"/>
  <c r="K47" i="1" s="1"/>
  <c r="AA47" i="1" s="1"/>
  <c r="I87" i="1"/>
  <c r="J87" i="1"/>
  <c r="J93" i="1" s="1"/>
  <c r="K44" i="1" s="1"/>
  <c r="AA44" i="1" s="1"/>
  <c r="U51" i="1"/>
  <c r="T51" i="1"/>
  <c r="E52" i="1"/>
  <c r="X52" i="1" s="1"/>
  <c r="AC52" i="1" s="1"/>
  <c r="N106" i="1"/>
  <c r="N112" i="1" s="1"/>
  <c r="R48" i="1" s="1"/>
  <c r="H106" i="1"/>
  <c r="G106" i="1"/>
  <c r="K106" i="1"/>
  <c r="K112" i="1" s="1"/>
  <c r="R45" i="1" s="1"/>
  <c r="T78" i="1"/>
  <c r="T97" i="1" s="1"/>
  <c r="S78" i="1"/>
  <c r="S97" i="1" s="1"/>
  <c r="M106" i="1" l="1"/>
  <c r="M112" i="1" s="1"/>
  <c r="R47" i="1" s="1"/>
  <c r="L20" i="9" s="1"/>
  <c r="T93" i="1"/>
  <c r="K52" i="1"/>
  <c r="AA52" i="1" s="1"/>
  <c r="S93" i="1"/>
  <c r="G105" i="15"/>
  <c r="G111" i="15" s="1"/>
  <c r="G105" i="16"/>
  <c r="G111" i="16" s="1"/>
  <c r="H105" i="15"/>
  <c r="H111" i="15" s="1"/>
  <c r="H105" i="16"/>
  <c r="H111" i="16" s="1"/>
  <c r="G112" i="1"/>
  <c r="R41" i="1" s="1"/>
  <c r="G105" i="14"/>
  <c r="G111" i="14" s="1"/>
  <c r="G105" i="13"/>
  <c r="G111" i="13" s="1"/>
  <c r="H105" i="14"/>
  <c r="H111" i="14" s="1"/>
  <c r="H105" i="13"/>
  <c r="H111" i="13" s="1"/>
  <c r="H112" i="1"/>
  <c r="R42" i="1" s="1"/>
  <c r="I41" i="1"/>
  <c r="I50" i="1"/>
  <c r="I43" i="1"/>
  <c r="I42" i="1"/>
  <c r="I49" i="1"/>
  <c r="I44" i="1"/>
  <c r="I47" i="1"/>
  <c r="I46" i="1"/>
  <c r="I48" i="1"/>
  <c r="I45" i="1"/>
  <c r="I106" i="1"/>
  <c r="I93" i="1"/>
  <c r="K43" i="1" s="1"/>
  <c r="AA43" i="1" s="1"/>
  <c r="L106" i="1"/>
  <c r="L112" i="1" s="1"/>
  <c r="R46" i="1" s="1"/>
  <c r="L19" i="9" s="1"/>
  <c r="L93" i="1"/>
  <c r="K46" i="1" s="1"/>
  <c r="AA46" i="1" s="1"/>
  <c r="O106" i="1"/>
  <c r="O93" i="1"/>
  <c r="K49" i="1" s="1"/>
  <c r="AA49" i="1" s="1"/>
  <c r="V50" i="1"/>
  <c r="V42" i="1"/>
  <c r="V48" i="1"/>
  <c r="V41" i="1"/>
  <c r="J106" i="1"/>
  <c r="J112" i="1" s="1"/>
  <c r="R44" i="1" s="1"/>
  <c r="V47" i="1"/>
  <c r="V45" i="1"/>
  <c r="V44" i="1"/>
  <c r="Q106" i="1"/>
  <c r="T106" i="1"/>
  <c r="T112" i="1" s="1"/>
  <c r="U106" i="1"/>
  <c r="U112" i="1" s="1"/>
  <c r="P106" i="1"/>
  <c r="P112" i="1" s="1"/>
  <c r="R50" i="1" s="1"/>
  <c r="L23" i="9" s="1"/>
  <c r="R106" i="1"/>
  <c r="R112" i="1" s="1"/>
  <c r="R52" i="1" s="1"/>
  <c r="S106" i="1"/>
  <c r="S112" i="1" s="1"/>
  <c r="L18" i="9"/>
  <c r="L21" i="9"/>
  <c r="T52" i="1"/>
  <c r="U52" i="1"/>
  <c r="V52" i="1"/>
  <c r="E53" i="1"/>
  <c r="X53" i="1" s="1"/>
  <c r="AC53" i="1" s="1"/>
  <c r="R53" i="1" l="1"/>
  <c r="L26" i="9" s="1"/>
  <c r="V46" i="1"/>
  <c r="K53" i="1"/>
  <c r="AA53" i="1" s="1"/>
  <c r="K43" i="15"/>
  <c r="K43" i="16"/>
  <c r="R41" i="15"/>
  <c r="M14" i="12" s="1"/>
  <c r="R41" i="16"/>
  <c r="N14" i="12" s="1"/>
  <c r="I105" i="15"/>
  <c r="I111" i="15" s="1"/>
  <c r="I105" i="16"/>
  <c r="I111" i="16" s="1"/>
  <c r="R42" i="15"/>
  <c r="M15" i="12" s="1"/>
  <c r="R42" i="16"/>
  <c r="N15" i="12" s="1"/>
  <c r="I112" i="1"/>
  <c r="R43" i="1" s="1"/>
  <c r="I105" i="14"/>
  <c r="I111" i="14" s="1"/>
  <c r="I105" i="13"/>
  <c r="I111" i="13" s="1"/>
  <c r="R42" i="14"/>
  <c r="R42" i="13"/>
  <c r="M15" i="9" s="1"/>
  <c r="K43" i="14"/>
  <c r="K43" i="13"/>
  <c r="R41" i="14"/>
  <c r="R41" i="13"/>
  <c r="M14" i="9" s="1"/>
  <c r="O112" i="1"/>
  <c r="R49" i="1" s="1"/>
  <c r="L22" i="9" s="1"/>
  <c r="Q112" i="1"/>
  <c r="R51" i="1" s="1"/>
  <c r="L24" i="9" s="1"/>
  <c r="V43" i="1"/>
  <c r="V49" i="1"/>
  <c r="V51" i="1"/>
  <c r="L25" i="9"/>
  <c r="L17" i="9"/>
  <c r="L15" i="9"/>
  <c r="T53" i="1"/>
  <c r="U53" i="1"/>
  <c r="V53" i="1"/>
  <c r="E54" i="1"/>
  <c r="K54" i="1" l="1"/>
  <c r="AA54" i="1" s="1"/>
  <c r="X54" i="1"/>
  <c r="AC54" i="1" s="1"/>
  <c r="R54" i="1"/>
  <c r="N14" i="9"/>
  <c r="L14" i="12"/>
  <c r="L15" i="12"/>
  <c r="N15" i="9"/>
  <c r="R43" i="15"/>
  <c r="M16" i="12" s="1"/>
  <c r="R43" i="16"/>
  <c r="N16" i="12" s="1"/>
  <c r="R43" i="14"/>
  <c r="R43" i="13"/>
  <c r="M16" i="9" s="1"/>
  <c r="E55" i="1"/>
  <c r="X55" i="1" s="1"/>
  <c r="AC55" i="1" s="1"/>
  <c r="L16" i="9"/>
  <c r="L14" i="9"/>
  <c r="U54" i="1"/>
  <c r="T54" i="1"/>
  <c r="V54" i="1"/>
  <c r="K55" i="1" l="1"/>
  <c r="AA55" i="1" s="1"/>
  <c r="R55" i="1"/>
  <c r="N16" i="9"/>
  <c r="L16" i="12"/>
  <c r="U55" i="1"/>
  <c r="G35" i="1" s="1"/>
  <c r="V55" i="1"/>
  <c r="H35" i="1" s="1"/>
  <c r="T55" i="1"/>
  <c r="F35" i="1" s="1"/>
  <c r="L27" i="9"/>
  <c r="AE48" i="1" l="1"/>
  <c r="AE53" i="1"/>
  <c r="AE41" i="1"/>
  <c r="AE50" i="1"/>
  <c r="AE42" i="1"/>
  <c r="AE52" i="1"/>
  <c r="AE49" i="1"/>
  <c r="AE45" i="1"/>
  <c r="AE46" i="1"/>
  <c r="AE51" i="1"/>
  <c r="AE47" i="1"/>
  <c r="AE44" i="1"/>
  <c r="AE43" i="1"/>
  <c r="AA58" i="1"/>
  <c r="AE54" i="1"/>
  <c r="H55" i="1"/>
  <c r="H54" i="1"/>
  <c r="H47" i="1"/>
  <c r="H42" i="1"/>
  <c r="H48" i="1"/>
  <c r="H49" i="1"/>
  <c r="H50" i="1"/>
  <c r="H43" i="1"/>
  <c r="H44" i="1"/>
  <c r="H45" i="1"/>
  <c r="H53" i="1"/>
  <c r="H51" i="1"/>
  <c r="H52" i="1"/>
  <c r="H46" i="1"/>
  <c r="H41" i="1"/>
  <c r="E30" i="1" s="1"/>
  <c r="J50" i="1" s="1"/>
  <c r="Z50" i="1" s="1"/>
  <c r="I35" i="1"/>
  <c r="J53" i="1" l="1"/>
  <c r="Z53" i="1" s="1"/>
  <c r="J46" i="1"/>
  <c r="Z46" i="1" s="1"/>
  <c r="J54" i="1"/>
  <c r="Z54" i="1" s="1"/>
  <c r="J41" i="1"/>
  <c r="J45" i="1"/>
  <c r="Z45" i="1" s="1"/>
  <c r="J42" i="1"/>
  <c r="E30" i="16"/>
  <c r="E30" i="14"/>
  <c r="E30" i="13"/>
  <c r="E30" i="15"/>
  <c r="J43" i="1"/>
  <c r="J51" i="1"/>
  <c r="Z51" i="1" s="1"/>
  <c r="J48" i="1"/>
  <c r="Z48" i="1" s="1"/>
  <c r="J47" i="1"/>
  <c r="Z47" i="1" s="1"/>
  <c r="J44" i="1"/>
  <c r="Z44" i="1" s="1"/>
  <c r="J52" i="1"/>
  <c r="Z52" i="1" s="1"/>
  <c r="J49" i="1"/>
  <c r="Z49" i="1" s="1"/>
  <c r="J55" i="1"/>
  <c r="J43" i="15" l="1"/>
  <c r="Z43" i="1"/>
  <c r="J42" i="15"/>
  <c r="Z42" i="1"/>
  <c r="J41" i="15"/>
  <c r="Z41" i="1"/>
  <c r="G55" i="1"/>
  <c r="Z55" i="1"/>
  <c r="J42" i="14"/>
  <c r="J42" i="16"/>
  <c r="J42" i="13"/>
  <c r="J43" i="13"/>
  <c r="G54" i="1"/>
  <c r="J43" i="14"/>
  <c r="G46" i="1"/>
  <c r="J43" i="16"/>
  <c r="J41" i="13"/>
  <c r="J41" i="16"/>
  <c r="J41" i="14"/>
  <c r="G41" i="1"/>
  <c r="E35" i="1"/>
  <c r="E31" i="1" s="1"/>
  <c r="G44" i="1"/>
  <c r="G49" i="1"/>
  <c r="G53" i="1"/>
  <c r="J55" i="13"/>
  <c r="G55" i="13" s="1"/>
  <c r="J50" i="13"/>
  <c r="J45" i="13"/>
  <c r="J47" i="13"/>
  <c r="J48" i="13"/>
  <c r="J51" i="13"/>
  <c r="J46" i="13"/>
  <c r="J52" i="13"/>
  <c r="J54" i="13"/>
  <c r="J49" i="13"/>
  <c r="J44" i="13"/>
  <c r="J53" i="13"/>
  <c r="G48" i="1"/>
  <c r="G43" i="1"/>
  <c r="G47" i="1"/>
  <c r="J55" i="14"/>
  <c r="G55" i="14" s="1"/>
  <c r="J51" i="14"/>
  <c r="J47" i="14"/>
  <c r="J49" i="14"/>
  <c r="J54" i="14"/>
  <c r="J50" i="14"/>
  <c r="J46" i="14"/>
  <c r="J52" i="14"/>
  <c r="J48" i="14"/>
  <c r="J53" i="14"/>
  <c r="J45" i="14"/>
  <c r="J46" i="15"/>
  <c r="J46" i="16" s="1"/>
  <c r="J53" i="15"/>
  <c r="J48" i="15"/>
  <c r="J51" i="15"/>
  <c r="J49" i="15"/>
  <c r="J47" i="15"/>
  <c r="J54" i="15"/>
  <c r="J50" i="15"/>
  <c r="J52" i="15"/>
  <c r="J55" i="15"/>
  <c r="G55" i="15" s="1"/>
  <c r="G50" i="1"/>
  <c r="G52" i="1"/>
  <c r="G42" i="1"/>
  <c r="G45" i="1"/>
  <c r="G51" i="1"/>
  <c r="J49" i="16"/>
  <c r="J53" i="16"/>
  <c r="J55" i="16"/>
  <c r="G55" i="16" s="1"/>
  <c r="J50" i="16"/>
  <c r="J54" i="16"/>
  <c r="J47" i="16"/>
  <c r="J51" i="16"/>
  <c r="J48" i="16"/>
  <c r="J52" i="16"/>
  <c r="G54" i="13" l="1"/>
  <c r="Z58" i="1"/>
  <c r="AA59" i="1" s="1"/>
  <c r="G54" i="14"/>
  <c r="P55" i="1"/>
  <c r="L41" i="1"/>
  <c r="L41" i="16" s="1"/>
  <c r="P44" i="1"/>
  <c r="L45" i="1" s="1"/>
  <c r="P48" i="1"/>
  <c r="F21" i="9" s="1"/>
  <c r="Q41" i="1"/>
  <c r="Q41" i="14" s="1"/>
  <c r="Q54" i="1"/>
  <c r="I27" i="9" s="1"/>
  <c r="Q42" i="1"/>
  <c r="Q42" i="16" s="1"/>
  <c r="K15" i="12" s="1"/>
  <c r="Q48" i="1"/>
  <c r="I21" i="9" s="1"/>
  <c r="P45" i="1"/>
  <c r="L46" i="1" s="1"/>
  <c r="P54" i="1"/>
  <c r="L55" i="1" s="1"/>
  <c r="Q53" i="1"/>
  <c r="I26" i="9" s="1"/>
  <c r="Q45" i="1"/>
  <c r="I18" i="9" s="1"/>
  <c r="P42" i="1"/>
  <c r="P42" i="13" s="1"/>
  <c r="Q52" i="1"/>
  <c r="I25" i="9" s="1"/>
  <c r="P51" i="1"/>
  <c r="F24" i="9" s="1"/>
  <c r="Q55" i="1"/>
  <c r="P41" i="1"/>
  <c r="P41" i="16" s="1"/>
  <c r="P46" i="1"/>
  <c r="L47" i="1" s="1"/>
  <c r="P53" i="1"/>
  <c r="L54" i="1" s="1"/>
  <c r="Q43" i="1"/>
  <c r="Q43" i="16" s="1"/>
  <c r="K16" i="12" s="1"/>
  <c r="P52" i="1"/>
  <c r="F25" i="9" s="1"/>
  <c r="P43" i="1"/>
  <c r="P43" i="16" s="1"/>
  <c r="Q51" i="1"/>
  <c r="I24" i="9" s="1"/>
  <c r="Q50" i="1"/>
  <c r="I23" i="9" s="1"/>
  <c r="Q49" i="1"/>
  <c r="I22" i="9" s="1"/>
  <c r="P47" i="1"/>
  <c r="L48" i="1" s="1"/>
  <c r="Q46" i="1"/>
  <c r="I19" i="9" s="1"/>
  <c r="G51" i="16"/>
  <c r="P50" i="1"/>
  <c r="F23" i="9" s="1"/>
  <c r="E35" i="13"/>
  <c r="E31" i="13" s="1"/>
  <c r="Q54" i="13" s="1"/>
  <c r="G47" i="15"/>
  <c r="G48" i="14"/>
  <c r="P49" i="1"/>
  <c r="F22" i="9" s="1"/>
  <c r="Q47" i="1"/>
  <c r="I20" i="9" s="1"/>
  <c r="G53" i="16"/>
  <c r="G52" i="15"/>
  <c r="G49" i="15"/>
  <c r="G52" i="14"/>
  <c r="G49" i="14"/>
  <c r="G53" i="13"/>
  <c r="G52" i="13"/>
  <c r="G47" i="13"/>
  <c r="G53" i="15"/>
  <c r="G48" i="13"/>
  <c r="Q44" i="1"/>
  <c r="I17" i="9" s="1"/>
  <c r="G52" i="16"/>
  <c r="G54" i="16"/>
  <c r="G49" i="16"/>
  <c r="G50" i="15"/>
  <c r="G51" i="15"/>
  <c r="J45" i="15"/>
  <c r="J45" i="16"/>
  <c r="G46" i="14"/>
  <c r="G47" i="14"/>
  <c r="J44" i="16"/>
  <c r="J44" i="14"/>
  <c r="E35" i="14" s="1"/>
  <c r="E31" i="14" s="1"/>
  <c r="P53" i="14" s="1"/>
  <c r="J44" i="15"/>
  <c r="G46" i="13"/>
  <c r="G45" i="13"/>
  <c r="G48" i="16"/>
  <c r="G50" i="16"/>
  <c r="G54" i="15"/>
  <c r="G48" i="15"/>
  <c r="G53" i="14"/>
  <c r="G50" i="14"/>
  <c r="G51" i="14"/>
  <c r="G49" i="13"/>
  <c r="G51" i="13"/>
  <c r="G50" i="13"/>
  <c r="AD49" i="1" l="1"/>
  <c r="AF49" i="1" s="1"/>
  <c r="AD43" i="1"/>
  <c r="AF43" i="1" s="1"/>
  <c r="AD51" i="1"/>
  <c r="AF51" i="1" s="1"/>
  <c r="AD44" i="1"/>
  <c r="AF44" i="1" s="1"/>
  <c r="AD52" i="1"/>
  <c r="AF52" i="1" s="1"/>
  <c r="AD45" i="1"/>
  <c r="AF45" i="1" s="1"/>
  <c r="AD46" i="1"/>
  <c r="AF46" i="1" s="1"/>
  <c r="AD42" i="1"/>
  <c r="AF42" i="1" s="1"/>
  <c r="AD50" i="1"/>
  <c r="AF50" i="1" s="1"/>
  <c r="AD53" i="1"/>
  <c r="AF53" i="1" s="1"/>
  <c r="AD54" i="1"/>
  <c r="AF54" i="1" s="1"/>
  <c r="AF55" i="1" s="1"/>
  <c r="AD47" i="1"/>
  <c r="AF47" i="1" s="1"/>
  <c r="AD41" i="1"/>
  <c r="AF41" i="1" s="1"/>
  <c r="AD48" i="1"/>
  <c r="AF48" i="1" s="1"/>
  <c r="L41" i="13"/>
  <c r="Q53" i="13"/>
  <c r="J26" i="9" s="1"/>
  <c r="J27" i="9"/>
  <c r="F17" i="9"/>
  <c r="H16" i="12"/>
  <c r="H14" i="12"/>
  <c r="M41" i="16"/>
  <c r="F26" i="12"/>
  <c r="F27" i="9"/>
  <c r="L49" i="1"/>
  <c r="Q41" i="13"/>
  <c r="J14" i="9" s="1"/>
  <c r="F18" i="9"/>
  <c r="I15" i="9"/>
  <c r="G15" i="9"/>
  <c r="M55" i="1"/>
  <c r="N55" i="1" s="1"/>
  <c r="L53" i="1"/>
  <c r="Q42" i="15"/>
  <c r="J15" i="12" s="1"/>
  <c r="P42" i="15"/>
  <c r="L41" i="15"/>
  <c r="F15" i="9"/>
  <c r="Q41" i="15"/>
  <c r="J14" i="12" s="1"/>
  <c r="L41" i="14"/>
  <c r="I16" i="9"/>
  <c r="M41" i="1"/>
  <c r="N41" i="1" s="1"/>
  <c r="N41" i="15" s="1"/>
  <c r="G39" i="12" s="1"/>
  <c r="M45" i="1"/>
  <c r="N45" i="1" s="1"/>
  <c r="F14" i="9"/>
  <c r="I14" i="9"/>
  <c r="P41" i="14"/>
  <c r="F16" i="9"/>
  <c r="F20" i="9"/>
  <c r="P41" i="13"/>
  <c r="M42" i="13" s="1"/>
  <c r="Q42" i="13"/>
  <c r="J15" i="9" s="1"/>
  <c r="M42" i="1"/>
  <c r="L43" i="1"/>
  <c r="P42" i="14"/>
  <c r="Q42" i="14"/>
  <c r="K15" i="9" s="1"/>
  <c r="Q41" i="16"/>
  <c r="K14" i="12" s="1"/>
  <c r="L42" i="1"/>
  <c r="P41" i="15"/>
  <c r="P42" i="16"/>
  <c r="M46" i="1"/>
  <c r="P43" i="13"/>
  <c r="Q43" i="15"/>
  <c r="J16" i="12" s="1"/>
  <c r="Q43" i="13"/>
  <c r="J16" i="9" s="1"/>
  <c r="M53" i="1"/>
  <c r="M52" i="1"/>
  <c r="L52" i="1"/>
  <c r="F26" i="9"/>
  <c r="F19" i="9"/>
  <c r="P43" i="15"/>
  <c r="M51" i="1"/>
  <c r="M54" i="1"/>
  <c r="N54" i="1" s="1"/>
  <c r="M48" i="1"/>
  <c r="M44" i="1"/>
  <c r="P55" i="13"/>
  <c r="Q43" i="14"/>
  <c r="K16" i="9" s="1"/>
  <c r="P43" i="14"/>
  <c r="M47" i="1"/>
  <c r="N47" i="1" s="1"/>
  <c r="M43" i="1"/>
  <c r="L44" i="1"/>
  <c r="L51" i="1"/>
  <c r="P53" i="13"/>
  <c r="P54" i="13"/>
  <c r="Q55" i="13"/>
  <c r="L50" i="1"/>
  <c r="M49" i="1"/>
  <c r="Q47" i="14"/>
  <c r="I20" i="12" s="1"/>
  <c r="M50" i="1"/>
  <c r="P49" i="14"/>
  <c r="Q52" i="14"/>
  <c r="K25" i="9" s="1"/>
  <c r="Q48" i="14"/>
  <c r="K21" i="9" s="1"/>
  <c r="Q53" i="14"/>
  <c r="K26" i="9" s="1"/>
  <c r="P45" i="14"/>
  <c r="P52" i="14"/>
  <c r="M53" i="14" s="1"/>
  <c r="Q45" i="14"/>
  <c r="Q55" i="14"/>
  <c r="H26" i="9"/>
  <c r="P47" i="14"/>
  <c r="E35" i="16"/>
  <c r="E31" i="16" s="1"/>
  <c r="Q55" i="16" s="1"/>
  <c r="P54" i="14"/>
  <c r="P55" i="14"/>
  <c r="Q50" i="14"/>
  <c r="K23" i="9" s="1"/>
  <c r="L54" i="14"/>
  <c r="Q46" i="14"/>
  <c r="I19" i="12" s="1"/>
  <c r="P48" i="14"/>
  <c r="Q51" i="14"/>
  <c r="I24" i="12" s="1"/>
  <c r="P51" i="14"/>
  <c r="Q54" i="14"/>
  <c r="K27" i="9" s="1"/>
  <c r="P50" i="14"/>
  <c r="Q49" i="14"/>
  <c r="P48" i="13"/>
  <c r="Q48" i="13"/>
  <c r="J21" i="9" s="1"/>
  <c r="Q44" i="13"/>
  <c r="P44" i="13"/>
  <c r="P47" i="13"/>
  <c r="Q47" i="13"/>
  <c r="J20" i="9" s="1"/>
  <c r="P46" i="14"/>
  <c r="P49" i="13"/>
  <c r="Q49" i="13"/>
  <c r="J22" i="9" s="1"/>
  <c r="E35" i="15"/>
  <c r="E31" i="15" s="1"/>
  <c r="P53" i="15" s="1"/>
  <c r="Q46" i="13"/>
  <c r="J19" i="9" s="1"/>
  <c r="P46" i="13"/>
  <c r="Q52" i="13"/>
  <c r="J25" i="9" s="1"/>
  <c r="P52" i="13"/>
  <c r="Q45" i="13"/>
  <c r="J18" i="9" s="1"/>
  <c r="P45" i="13"/>
  <c r="P50" i="13"/>
  <c r="Q50" i="13"/>
  <c r="J23" i="9" s="1"/>
  <c r="Q51" i="13"/>
  <c r="J24" i="9" s="1"/>
  <c r="P51" i="13"/>
  <c r="K14" i="9"/>
  <c r="I14" i="12"/>
  <c r="I18" i="12" l="1"/>
  <c r="N51" i="1"/>
  <c r="O51" i="1" s="1"/>
  <c r="I49" i="9" s="1"/>
  <c r="N44" i="1"/>
  <c r="O44" i="1" s="1"/>
  <c r="I42" i="9" s="1"/>
  <c r="N52" i="1"/>
  <c r="F50" i="9" s="1"/>
  <c r="O55" i="1"/>
  <c r="F45" i="9"/>
  <c r="N42" i="1"/>
  <c r="N42" i="14" s="1"/>
  <c r="N43" i="1"/>
  <c r="N43" i="16" s="1"/>
  <c r="H41" i="12" s="1"/>
  <c r="N49" i="1"/>
  <c r="F47" i="9" s="1"/>
  <c r="N50" i="1"/>
  <c r="F48" i="9" s="1"/>
  <c r="O45" i="1"/>
  <c r="I43" i="9" s="1"/>
  <c r="N46" i="1"/>
  <c r="O46" i="1" s="1"/>
  <c r="I44" i="9" s="1"/>
  <c r="O54" i="1"/>
  <c r="I52" i="9" s="1"/>
  <c r="N53" i="1"/>
  <c r="O53" i="1" s="1"/>
  <c r="I51" i="9" s="1"/>
  <c r="N48" i="1"/>
  <c r="O48" i="1" s="1"/>
  <c r="I46" i="9" s="1"/>
  <c r="L42" i="14"/>
  <c r="L43" i="15"/>
  <c r="M45" i="13"/>
  <c r="H15" i="12"/>
  <c r="M42" i="16"/>
  <c r="M43" i="16"/>
  <c r="M55" i="14"/>
  <c r="G14" i="12"/>
  <c r="M41" i="15"/>
  <c r="G16" i="12"/>
  <c r="M43" i="15"/>
  <c r="G15" i="12"/>
  <c r="M42" i="15"/>
  <c r="F23" i="12"/>
  <c r="M50" i="14"/>
  <c r="F21" i="12"/>
  <c r="M48" i="14"/>
  <c r="F18" i="12"/>
  <c r="F27" i="12"/>
  <c r="M54" i="14"/>
  <c r="N54" i="14" s="1"/>
  <c r="F52" i="12" s="1"/>
  <c r="F24" i="12"/>
  <c r="M51" i="14"/>
  <c r="F16" i="12"/>
  <c r="M43" i="14"/>
  <c r="F19" i="12"/>
  <c r="M46" i="14"/>
  <c r="F22" i="12"/>
  <c r="M49" i="14"/>
  <c r="F15" i="12"/>
  <c r="M42" i="14"/>
  <c r="F20" i="12"/>
  <c r="M47" i="14"/>
  <c r="F25" i="12"/>
  <c r="M52" i="14"/>
  <c r="H14" i="9"/>
  <c r="M41" i="14"/>
  <c r="M44" i="13"/>
  <c r="L43" i="16"/>
  <c r="M51" i="13"/>
  <c r="M49" i="13"/>
  <c r="G27" i="9"/>
  <c r="M54" i="13"/>
  <c r="L44" i="13"/>
  <c r="M43" i="13"/>
  <c r="M46" i="13"/>
  <c r="M55" i="13"/>
  <c r="M52" i="13"/>
  <c r="L54" i="13"/>
  <c r="M53" i="13"/>
  <c r="M50" i="13"/>
  <c r="M47" i="13"/>
  <c r="M48" i="13"/>
  <c r="G14" i="9"/>
  <c r="M41" i="13"/>
  <c r="F39" i="9"/>
  <c r="N41" i="13"/>
  <c r="G39" i="9" s="1"/>
  <c r="O47" i="1"/>
  <c r="I45" i="9" s="1"/>
  <c r="I15" i="12"/>
  <c r="O41" i="1"/>
  <c r="O41" i="15" s="1"/>
  <c r="J39" i="12" s="1"/>
  <c r="N41" i="16"/>
  <c r="H39" i="12" s="1"/>
  <c r="N41" i="14"/>
  <c r="F39" i="12" s="1"/>
  <c r="F52" i="9"/>
  <c r="H15" i="9"/>
  <c r="H16" i="9"/>
  <c r="F14" i="12"/>
  <c r="L43" i="14"/>
  <c r="L42" i="16"/>
  <c r="G16" i="9"/>
  <c r="L42" i="13"/>
  <c r="L43" i="13"/>
  <c r="L42" i="15"/>
  <c r="H23" i="9"/>
  <c r="I16" i="12"/>
  <c r="L46" i="14"/>
  <c r="L55" i="13"/>
  <c r="G26" i="9"/>
  <c r="L50" i="14"/>
  <c r="L49" i="14"/>
  <c r="P45" i="16"/>
  <c r="H19" i="9"/>
  <c r="K19" i="9"/>
  <c r="H27" i="9"/>
  <c r="I27" i="12"/>
  <c r="L47" i="14"/>
  <c r="H18" i="9"/>
  <c r="H22" i="9"/>
  <c r="H21" i="9"/>
  <c r="P45" i="15"/>
  <c r="H20" i="9"/>
  <c r="K20" i="9"/>
  <c r="I25" i="12"/>
  <c r="H25" i="9"/>
  <c r="L55" i="14"/>
  <c r="I26" i="12"/>
  <c r="L53" i="14"/>
  <c r="L48" i="14"/>
  <c r="Q54" i="16"/>
  <c r="K27" i="12" s="1"/>
  <c r="Q45" i="16"/>
  <c r="K18" i="12" s="1"/>
  <c r="Q45" i="15"/>
  <c r="J18" i="12" s="1"/>
  <c r="I23" i="12"/>
  <c r="P54" i="16"/>
  <c r="P50" i="16"/>
  <c r="P55" i="16"/>
  <c r="I21" i="12"/>
  <c r="P47" i="16"/>
  <c r="Q51" i="16"/>
  <c r="K24" i="12" s="1"/>
  <c r="Q53" i="16"/>
  <c r="K26" i="12" s="1"/>
  <c r="H24" i="9"/>
  <c r="P53" i="16"/>
  <c r="L54" i="16" s="1"/>
  <c r="L52" i="14"/>
  <c r="Q49" i="16"/>
  <c r="K22" i="12" s="1"/>
  <c r="Q50" i="16"/>
  <c r="K23" i="12" s="1"/>
  <c r="P49" i="16"/>
  <c r="P51" i="16"/>
  <c r="L51" i="14"/>
  <c r="K24" i="9"/>
  <c r="P48" i="16"/>
  <c r="Q48" i="16"/>
  <c r="K21" i="12" s="1"/>
  <c r="I22" i="12"/>
  <c r="K22" i="9"/>
  <c r="Q52" i="16"/>
  <c r="K25" i="12" s="1"/>
  <c r="K18" i="9"/>
  <c r="P52" i="16"/>
  <c r="Q47" i="16"/>
  <c r="G26" i="12"/>
  <c r="L54" i="15"/>
  <c r="P50" i="15"/>
  <c r="L47" i="13"/>
  <c r="G19" i="9"/>
  <c r="J17" i="9"/>
  <c r="Q44" i="16"/>
  <c r="K17" i="12" s="1"/>
  <c r="Q44" i="14"/>
  <c r="Q44" i="15"/>
  <c r="J17" i="12" s="1"/>
  <c r="P55" i="15"/>
  <c r="Q55" i="15"/>
  <c r="Q54" i="15"/>
  <c r="J27" i="12" s="1"/>
  <c r="P46" i="15"/>
  <c r="Q46" i="15"/>
  <c r="P54" i="15"/>
  <c r="M54" i="15" s="1"/>
  <c r="Q50" i="15"/>
  <c r="J23" i="12" s="1"/>
  <c r="Q47" i="15"/>
  <c r="J20" i="12" s="1"/>
  <c r="Q48" i="15"/>
  <c r="J21" i="12" s="1"/>
  <c r="L51" i="13"/>
  <c r="G23" i="9"/>
  <c r="P52" i="15"/>
  <c r="L46" i="13"/>
  <c r="G18" i="9"/>
  <c r="Q51" i="15"/>
  <c r="J24" i="12" s="1"/>
  <c r="P47" i="15"/>
  <c r="P49" i="15"/>
  <c r="L50" i="13"/>
  <c r="G22" i="9"/>
  <c r="Q53" i="15"/>
  <c r="J26" i="12" s="1"/>
  <c r="P44" i="16"/>
  <c r="P44" i="15"/>
  <c r="L45" i="13"/>
  <c r="G17" i="9"/>
  <c r="P44" i="14"/>
  <c r="M44" i="14" s="1"/>
  <c r="P48" i="15"/>
  <c r="P51" i="15"/>
  <c r="G24" i="9"/>
  <c r="L52" i="13"/>
  <c r="Q52" i="15"/>
  <c r="J25" i="12" s="1"/>
  <c r="G25" i="9"/>
  <c r="L53" i="13"/>
  <c r="Q49" i="15"/>
  <c r="J22" i="12" s="1"/>
  <c r="L48" i="13"/>
  <c r="G20" i="9"/>
  <c r="L49" i="13"/>
  <c r="G21" i="9"/>
  <c r="F43" i="9"/>
  <c r="F49" i="9" l="1"/>
  <c r="K20" i="12"/>
  <c r="F42" i="9"/>
  <c r="N51" i="13"/>
  <c r="O51" i="13" s="1"/>
  <c r="J49" i="9" s="1"/>
  <c r="F46" i="9"/>
  <c r="N52" i="13"/>
  <c r="G50" i="9" s="1"/>
  <c r="F44" i="9"/>
  <c r="O52" i="1"/>
  <c r="I50" i="9" s="1"/>
  <c r="N54" i="15"/>
  <c r="N50" i="13"/>
  <c r="O50" i="13" s="1"/>
  <c r="J48" i="9" s="1"/>
  <c r="N55" i="13"/>
  <c r="O55" i="13" s="1"/>
  <c r="N49" i="13"/>
  <c r="G47" i="9" s="1"/>
  <c r="N49" i="14"/>
  <c r="F47" i="12" s="1"/>
  <c r="N45" i="13"/>
  <c r="G43" i="9" s="1"/>
  <c r="N47" i="13"/>
  <c r="O47" i="13" s="1"/>
  <c r="J45" i="9" s="1"/>
  <c r="N48" i="14"/>
  <c r="F46" i="12" s="1"/>
  <c r="N55" i="14"/>
  <c r="O55" i="14" s="1"/>
  <c r="N50" i="14"/>
  <c r="F48" i="12" s="1"/>
  <c r="N46" i="14"/>
  <c r="H44" i="9" s="1"/>
  <c r="N52" i="14"/>
  <c r="F50" i="12" s="1"/>
  <c r="N48" i="13"/>
  <c r="O48" i="13" s="1"/>
  <c r="J46" i="9" s="1"/>
  <c r="N51" i="14"/>
  <c r="H49" i="9" s="1"/>
  <c r="N53" i="14"/>
  <c r="H51" i="9" s="1"/>
  <c r="N47" i="14"/>
  <c r="F45" i="12" s="1"/>
  <c r="N46" i="13"/>
  <c r="O46" i="13" s="1"/>
  <c r="J44" i="9" s="1"/>
  <c r="N53" i="13"/>
  <c r="G51" i="9" s="1"/>
  <c r="N54" i="13"/>
  <c r="O54" i="13" s="1"/>
  <c r="J52" i="9" s="1"/>
  <c r="N44" i="13"/>
  <c r="O50" i="1"/>
  <c r="I48" i="9" s="1"/>
  <c r="F51" i="9"/>
  <c r="O49" i="1"/>
  <c r="I47" i="9" s="1"/>
  <c r="L44" i="16"/>
  <c r="M47" i="15"/>
  <c r="M51" i="16"/>
  <c r="M48" i="16"/>
  <c r="H17" i="12"/>
  <c r="M44" i="16"/>
  <c r="H23" i="12"/>
  <c r="M50" i="16"/>
  <c r="O41" i="14"/>
  <c r="K39" i="9" s="1"/>
  <c r="M46" i="15"/>
  <c r="M49" i="16"/>
  <c r="H26" i="12"/>
  <c r="M53" i="16"/>
  <c r="H20" i="12"/>
  <c r="H27" i="12"/>
  <c r="M54" i="16"/>
  <c r="H18" i="12"/>
  <c r="M45" i="16"/>
  <c r="M51" i="15"/>
  <c r="M52" i="16"/>
  <c r="M55" i="16"/>
  <c r="M48" i="15"/>
  <c r="M50" i="15"/>
  <c r="M52" i="15"/>
  <c r="M53" i="15"/>
  <c r="G17" i="12"/>
  <c r="M44" i="15"/>
  <c r="M49" i="15"/>
  <c r="M55" i="15"/>
  <c r="G18" i="12"/>
  <c r="M45" i="15"/>
  <c r="N42" i="15"/>
  <c r="G40" i="12" s="1"/>
  <c r="M45" i="14"/>
  <c r="L44" i="15"/>
  <c r="I39" i="9"/>
  <c r="O41" i="13"/>
  <c r="J39" i="9" s="1"/>
  <c r="L44" i="14"/>
  <c r="O41" i="16"/>
  <c r="K39" i="12" s="1"/>
  <c r="H39" i="9"/>
  <c r="F40" i="9"/>
  <c r="N43" i="14"/>
  <c r="F41" i="12" s="1"/>
  <c r="N43" i="13"/>
  <c r="G41" i="9" s="1"/>
  <c r="O42" i="1"/>
  <c r="O42" i="13" s="1"/>
  <c r="J40" i="9" s="1"/>
  <c r="N42" i="13"/>
  <c r="G40" i="9" s="1"/>
  <c r="N42" i="16"/>
  <c r="H40" i="12" s="1"/>
  <c r="O43" i="1"/>
  <c r="O43" i="15" s="1"/>
  <c r="J41" i="12" s="1"/>
  <c r="N43" i="15"/>
  <c r="G41" i="12" s="1"/>
  <c r="F41" i="9"/>
  <c r="L46" i="15"/>
  <c r="O54" i="14"/>
  <c r="K52" i="9" s="1"/>
  <c r="L48" i="16"/>
  <c r="L55" i="16"/>
  <c r="H52" i="9"/>
  <c r="L51" i="16"/>
  <c r="H21" i="12"/>
  <c r="L49" i="16"/>
  <c r="H24" i="12"/>
  <c r="L52" i="16"/>
  <c r="H25" i="12"/>
  <c r="L53" i="16"/>
  <c r="H22" i="12"/>
  <c r="L50" i="16"/>
  <c r="G21" i="12"/>
  <c r="L49" i="15"/>
  <c r="F17" i="12"/>
  <c r="H17" i="9"/>
  <c r="L45" i="14"/>
  <c r="G22" i="12"/>
  <c r="L50" i="15"/>
  <c r="G27" i="12"/>
  <c r="L55" i="15"/>
  <c r="G23" i="12"/>
  <c r="L51" i="15"/>
  <c r="G20" i="12"/>
  <c r="L48" i="15"/>
  <c r="G25" i="12"/>
  <c r="L53" i="15"/>
  <c r="Q46" i="16"/>
  <c r="K19" i="12" s="1"/>
  <c r="J19" i="12"/>
  <c r="I17" i="12"/>
  <c r="K17" i="9"/>
  <c r="G24" i="12"/>
  <c r="L52" i="15"/>
  <c r="G19" i="12"/>
  <c r="P46" i="16"/>
  <c r="M46" i="16" s="1"/>
  <c r="L47" i="15"/>
  <c r="H40" i="9"/>
  <c r="F40" i="12"/>
  <c r="G49" i="9" l="1"/>
  <c r="N44" i="14"/>
  <c r="F42" i="12" s="1"/>
  <c r="O52" i="13"/>
  <c r="J50" i="9" s="1"/>
  <c r="N48" i="16"/>
  <c r="O48" i="16" s="1"/>
  <c r="K46" i="12" s="1"/>
  <c r="G48" i="9"/>
  <c r="N55" i="15"/>
  <c r="O55" i="15" s="1"/>
  <c r="O46" i="14"/>
  <c r="K44" i="9" s="1"/>
  <c r="N50" i="16"/>
  <c r="H48" i="12" s="1"/>
  <c r="N52" i="16"/>
  <c r="H50" i="12" s="1"/>
  <c r="G46" i="9"/>
  <c r="G44" i="9"/>
  <c r="O50" i="14"/>
  <c r="I48" i="12" s="1"/>
  <c r="O53" i="13"/>
  <c r="J51" i="9" s="1"/>
  <c r="N50" i="15"/>
  <c r="O50" i="15" s="1"/>
  <c r="J48" i="12" s="1"/>
  <c r="N51" i="16"/>
  <c r="O51" i="16" s="1"/>
  <c r="K49" i="12" s="1"/>
  <c r="O45" i="13"/>
  <c r="J43" i="9" s="1"/>
  <c r="N48" i="15"/>
  <c r="G46" i="12" s="1"/>
  <c r="N47" i="15"/>
  <c r="O47" i="15" s="1"/>
  <c r="J45" i="12" s="1"/>
  <c r="H48" i="9"/>
  <c r="H47" i="9"/>
  <c r="N49" i="16"/>
  <c r="H47" i="12" s="1"/>
  <c r="N55" i="16"/>
  <c r="O55" i="16" s="1"/>
  <c r="N53" i="16"/>
  <c r="O53" i="16" s="1"/>
  <c r="K51" i="12" s="1"/>
  <c r="N53" i="15"/>
  <c r="G51" i="12" s="1"/>
  <c r="N54" i="16"/>
  <c r="O54" i="16" s="1"/>
  <c r="K52" i="12" s="1"/>
  <c r="G45" i="9"/>
  <c r="N51" i="15"/>
  <c r="G49" i="12" s="1"/>
  <c r="N52" i="15"/>
  <c r="G50" i="12" s="1"/>
  <c r="N49" i="15"/>
  <c r="O49" i="15" s="1"/>
  <c r="J47" i="12" s="1"/>
  <c r="O52" i="14"/>
  <c r="K50" i="9" s="1"/>
  <c r="H50" i="9"/>
  <c r="O47" i="14"/>
  <c r="I45" i="12" s="1"/>
  <c r="O49" i="13"/>
  <c r="J47" i="9" s="1"/>
  <c r="H45" i="9"/>
  <c r="O48" i="14"/>
  <c r="K46" i="9" s="1"/>
  <c r="H46" i="9"/>
  <c r="G52" i="9"/>
  <c r="O53" i="14"/>
  <c r="K51" i="9" s="1"/>
  <c r="L46" i="16"/>
  <c r="N46" i="15"/>
  <c r="F49" i="12"/>
  <c r="F44" i="12"/>
  <c r="N45" i="14"/>
  <c r="O51" i="14"/>
  <c r="K49" i="9" s="1"/>
  <c r="O49" i="14"/>
  <c r="I47" i="12" s="1"/>
  <c r="F51" i="12"/>
  <c r="I39" i="12"/>
  <c r="H41" i="9"/>
  <c r="N44" i="16"/>
  <c r="H42" i="12" s="1"/>
  <c r="G42" i="9"/>
  <c r="N44" i="15"/>
  <c r="G42" i="12" s="1"/>
  <c r="O44" i="13"/>
  <c r="M47" i="16"/>
  <c r="O43" i="14"/>
  <c r="K41" i="9" s="1"/>
  <c r="O42" i="15"/>
  <c r="J40" i="12" s="1"/>
  <c r="O43" i="16"/>
  <c r="K41" i="12" s="1"/>
  <c r="O43" i="13"/>
  <c r="J41" i="9" s="1"/>
  <c r="O42" i="14"/>
  <c r="K40" i="9" s="1"/>
  <c r="I40" i="9"/>
  <c r="O42" i="16"/>
  <c r="K40" i="12" s="1"/>
  <c r="I41" i="9"/>
  <c r="I52" i="12"/>
  <c r="H19" i="12"/>
  <c r="L47" i="16"/>
  <c r="G52" i="12"/>
  <c r="O54" i="15"/>
  <c r="J52" i="12" s="1"/>
  <c r="L45" i="16"/>
  <c r="L45" i="15"/>
  <c r="I44" i="12" l="1"/>
  <c r="G44" i="12"/>
  <c r="H42" i="9"/>
  <c r="O44" i="15"/>
  <c r="J42" i="12" s="1"/>
  <c r="O50" i="16"/>
  <c r="K48" i="12" s="1"/>
  <c r="H46" i="12"/>
  <c r="H51" i="12"/>
  <c r="O53" i="15"/>
  <c r="J51" i="12" s="1"/>
  <c r="O48" i="15"/>
  <c r="J46" i="12" s="1"/>
  <c r="O52" i="16"/>
  <c r="K50" i="12" s="1"/>
  <c r="G47" i="12"/>
  <c r="G48" i="12"/>
  <c r="G45" i="12"/>
  <c r="O49" i="16"/>
  <c r="K47" i="12" s="1"/>
  <c r="K48" i="9"/>
  <c r="H49" i="12"/>
  <c r="I46" i="12"/>
  <c r="I49" i="12"/>
  <c r="O51" i="15"/>
  <c r="J49" i="12" s="1"/>
  <c r="H52" i="12"/>
  <c r="I50" i="12"/>
  <c r="O52" i="15"/>
  <c r="J50" i="12" s="1"/>
  <c r="N47" i="16"/>
  <c r="O47" i="16" s="1"/>
  <c r="K45" i="9"/>
  <c r="I51" i="12"/>
  <c r="K47" i="9"/>
  <c r="O44" i="14"/>
  <c r="K42" i="9" s="1"/>
  <c r="J42" i="9"/>
  <c r="O44" i="16"/>
  <c r="K42" i="12" s="1"/>
  <c r="I41" i="12"/>
  <c r="I40" i="12"/>
  <c r="N46" i="16"/>
  <c r="H44" i="12" s="1"/>
  <c r="O46" i="15"/>
  <c r="F43" i="12"/>
  <c r="H43" i="9"/>
  <c r="N45" i="15"/>
  <c r="G43" i="12" s="1"/>
  <c r="N45" i="16"/>
  <c r="H43" i="12" s="1"/>
  <c r="O45" i="14"/>
  <c r="H45" i="12" l="1"/>
  <c r="K45" i="12"/>
  <c r="J44" i="12"/>
  <c r="I42" i="12"/>
  <c r="O46" i="16"/>
  <c r="K44" i="12" s="1"/>
  <c r="K43" i="9"/>
  <c r="O45" i="16"/>
  <c r="K43" i="12" s="1"/>
  <c r="I43" i="12"/>
  <c r="O45" i="15"/>
  <c r="J43" i="12" s="1"/>
</calcChain>
</file>

<file path=xl/sharedStrings.xml><?xml version="1.0" encoding="utf-8"?>
<sst xmlns="http://schemas.openxmlformats.org/spreadsheetml/2006/main" count="436" uniqueCount="132">
  <si>
    <t>LDTI</t>
  </si>
  <si>
    <t>Illustrative Example</t>
  </si>
  <si>
    <t xml:space="preserve">Suppose: </t>
  </si>
  <si>
    <t>Policy Year (t)</t>
  </si>
  <si>
    <t>Total</t>
  </si>
  <si>
    <t>Claims Incurred (t)</t>
  </si>
  <si>
    <t>&lt;--- Discount Rate</t>
  </si>
  <si>
    <t>Claim Reserve Interaction</t>
  </si>
  <si>
    <t>Assumptions:</t>
  </si>
  <si>
    <t>&lt;--- Policy Termination</t>
  </si>
  <si>
    <t>Priced at a 65% LR</t>
  </si>
  <si>
    <t>&lt;--- Pricing loss ratio</t>
  </si>
  <si>
    <t>Incurral Year</t>
  </si>
  <si>
    <t>&lt;--- Claim Termination</t>
  </si>
  <si>
    <t>No expenses and no DAC</t>
  </si>
  <si>
    <t>Claim Reserve</t>
  </si>
  <si>
    <t>Time (t)</t>
  </si>
  <si>
    <t>Calculated Values:</t>
  </si>
  <si>
    <t>&lt;--- Gross Premium</t>
  </si>
  <si>
    <t>Premium paid beginning of the year</t>
  </si>
  <si>
    <t>Claims paid end of the year</t>
  </si>
  <si>
    <t>Income Margin</t>
  </si>
  <si>
    <t>Lives (BOY)</t>
  </si>
  <si>
    <t>Charts</t>
  </si>
  <si>
    <t>Reserve comparison</t>
  </si>
  <si>
    <t>t</t>
  </si>
  <si>
    <t>Income</t>
  </si>
  <si>
    <t>Benefit Reserve</t>
  </si>
  <si>
    <t>PVF Claims Paid (BOY)</t>
  </si>
  <si>
    <t>PVFGP (BOY)</t>
  </si>
  <si>
    <t>PVF Claims Incurred (BOY)</t>
  </si>
  <si>
    <t>&lt;--- Net Premium Ratio</t>
  </si>
  <si>
    <t>Benefit Reserve (EOY)</t>
  </si>
  <si>
    <t>Claim Reserve (EOY)</t>
  </si>
  <si>
    <t>t=</t>
  </si>
  <si>
    <t>Not modeling OCI</t>
  </si>
  <si>
    <t>DLR is only claim reserve held</t>
  </si>
  <si>
    <t>Net Premium Ratio Inputs:</t>
  </si>
  <si>
    <t>PVGP</t>
  </si>
  <si>
    <t>Claim Run Out Per Claimant</t>
  </si>
  <si>
    <t>Claim Run Out All Claimants</t>
  </si>
  <si>
    <t>Claim Reserve EOY All Claimants</t>
  </si>
  <si>
    <t>&lt;--- Time 7 assumed cumulative premium increase</t>
  </si>
  <si>
    <t>&lt;--- Time 8+ assumed cumulative premium increase</t>
  </si>
  <si>
    <t xml:space="preserve">Key: </t>
  </si>
  <si>
    <t>Adverse change from prior tab</t>
  </si>
  <si>
    <t>Favorable change from prior tab</t>
  </si>
  <si>
    <t>Results from Time 0</t>
  </si>
  <si>
    <t>Results from Time 4</t>
  </si>
  <si>
    <t>Results from Time 5</t>
  </si>
  <si>
    <t>Results from Time 6</t>
  </si>
  <si>
    <t>&lt;--- Time 7+ actual implemented premium increase</t>
  </si>
  <si>
    <t>Collected Premium</t>
  </si>
  <si>
    <t>Paid Claims</t>
  </si>
  <si>
    <t>Investment Income</t>
  </si>
  <si>
    <t>Change in Reserve</t>
  </si>
  <si>
    <t>Income Statement</t>
  </si>
  <si>
    <t>Balance Sheet</t>
  </si>
  <si>
    <t>Base Case</t>
  </si>
  <si>
    <t>Scenario 1 - unfavorable claim development</t>
  </si>
  <si>
    <t>Scenario 2 - continued unfavorable claim development &amp; assumption change</t>
  </si>
  <si>
    <t>Scenario 3 - assume rate increase for time 7 and 8</t>
  </si>
  <si>
    <t>Scenario 4 - rate increase approved at lower total percentage than assumed</t>
  </si>
  <si>
    <t>Scenario 1</t>
  </si>
  <si>
    <t>Scenario 2</t>
  </si>
  <si>
    <t>Scenario 3</t>
  </si>
  <si>
    <t>Scenario 4</t>
  </si>
  <si>
    <t>1,000 LTC contracts are sold all policyholders are age 85 and die at age 100</t>
  </si>
  <si>
    <t>Total GAAP Reserve (EOY)</t>
  </si>
  <si>
    <t>Total GAAP Reserve</t>
  </si>
  <si>
    <t>Net Income (t)</t>
  </si>
  <si>
    <t>Net Income Margin (t)</t>
  </si>
  <si>
    <t>Benefit period = 5 years</t>
  </si>
  <si>
    <t>Policy Year</t>
  </si>
  <si>
    <t>Discount Rate</t>
  </si>
  <si>
    <t>Gross Premium</t>
  </si>
  <si>
    <t>Total PV:</t>
  </si>
  <si>
    <t>As a percent of PV of premiums:</t>
  </si>
  <si>
    <t>Policy year</t>
  </si>
  <si>
    <t>PV of net premiums</t>
  </si>
  <si>
    <t>PV of benefits</t>
  </si>
  <si>
    <t>Reserves (end of year)</t>
  </si>
  <si>
    <t>Table 8-2 Baseline net premium ratio</t>
  </si>
  <si>
    <t>Table 8-3 Claim Run Out Per Claimant</t>
  </si>
  <si>
    <t>Table 8-4 Claim Run Out All Claimants</t>
  </si>
  <si>
    <t>Table 8-5 Claim Reserve EOY All Claimants</t>
  </si>
  <si>
    <t>Table 8-6 Projected Income statement and balance sheet</t>
  </si>
  <si>
    <t>Table 8-7 Claim Run Out Per Claimant</t>
  </si>
  <si>
    <t>Table 8-10 Claim Run Out Per Claimant</t>
  </si>
  <si>
    <t>Table 8-11 Claim Run Out All Claimants</t>
  </si>
  <si>
    <t>Table 8-12 Claim Reserve EOY All Claimants</t>
  </si>
  <si>
    <t>Table 8-13 Projected Income statement and balance sheet</t>
  </si>
  <si>
    <t>Table 8-8 Projected Income statement and balance sheet</t>
  </si>
  <si>
    <t>Table 8-15 Projected Income statement and balance sheet</t>
  </si>
  <si>
    <t>Table 8-17 Projected Income statement and balance sheet</t>
  </si>
  <si>
    <t>Society of Actuaries</t>
  </si>
  <si>
    <t>US GAAP for Insurers - 3rd edition</t>
  </si>
  <si>
    <t>Product Type</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</si>
  <si>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</si>
  <si>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</si>
  <si>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</si>
  <si>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</si>
  <si>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</si>
  <si>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</si>
  <si>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</si>
  <si>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</si>
  <si>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The modeled policies represent a cohort of 1,000 policies issued.</t>
  </si>
  <si>
    <t>Modeling Scenarios</t>
  </si>
  <si>
    <t>Long-Duration Accident and Health Insurance</t>
  </si>
  <si>
    <t>Scenario results are color coded to some extent, as defined in the different tabs.</t>
  </si>
  <si>
    <t>2) Claims Shock: Represents a scenario in which there are no claim terminations in year 4.  Claim terminations return to originally expected levels in future years.</t>
  </si>
  <si>
    <t xml:space="preserve">Five scenarios are presented in the following tabs. </t>
  </si>
  <si>
    <t>This spreadsheet is not intended to be a financial reporting or valuation system.  It was developed solely for the purpose of constructing numerical examples for the text and is not suitable for any other application.</t>
  </si>
  <si>
    <t>Product Characteristics</t>
  </si>
  <si>
    <t>Modeling Assumptions</t>
  </si>
  <si>
    <t>For simplicity, dividends paid to shareholders are assumed to be the full amount of GAAP profits earned during the period.</t>
  </si>
  <si>
    <t>For simplicity, no expenses are assumed.</t>
  </si>
  <si>
    <t>All terminations are assumed to occur at the end of the policy year.</t>
  </si>
  <si>
    <t>There is a mortality rate of 100% in policy year 15.</t>
  </si>
  <si>
    <t>Premiums are assumed to be paid at the beginning of the policy year.</t>
  </si>
  <si>
    <t>The disabled life reserve is the only claim reserve held.</t>
  </si>
  <si>
    <t>1) Base Case: Represents the base case scenario, where assumptions develop as originally expected.</t>
  </si>
  <si>
    <t>4) Assume Rate Increase: Same as Scenario (3) and company assumes it will institute a premium rate increase program.</t>
  </si>
  <si>
    <t>5) Actual Rate Increase: Same as Scenario (4), but rate increase approved at lower rate increase percentage than assumed.</t>
  </si>
  <si>
    <t>Formulas have text colored black.</t>
  </si>
  <si>
    <t>3) Update Assumptions: Represents a scenario in which there are no claim terminations in years 4 and 5.  As a result of this experience, the company reduces future claim termination rates inherent in reserving.</t>
  </si>
  <si>
    <t>Version: 2024 04</t>
  </si>
  <si>
    <t>The product modeled is a long-term care insurance policy.  There are level premiums and a 5-year benefit period.</t>
  </si>
  <si>
    <r>
      <rPr>
        <sz val="11"/>
        <rFont val="Calibri"/>
        <family val="2"/>
        <scheme val="minor"/>
      </rPr>
      <t>Hard-coded / assumption inputs in the Base Case tab have text colored</t>
    </r>
    <r>
      <rPr>
        <sz val="11"/>
        <color rgb="FF0070C0"/>
        <rFont val="Calibri"/>
        <family val="2"/>
        <scheme val="minor"/>
      </rPr>
      <t xml:space="preserve"> blue</t>
    </r>
    <r>
      <rPr>
        <sz val="11"/>
        <rFont val="Calibri"/>
        <family val="2"/>
        <scheme val="minor"/>
      </rPr>
      <t>. In every other tab, the color schemes are defined within each tab.</t>
    </r>
  </si>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</sst>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0.0%"/>
    <numFmt numFmtId="166" formatCode="_(* #,##0_);_(* \(#,##0\);_(* &quot;-&quot;??_);_(@_)"/>
    <numFmt numFmtId="167" formatCode="_(* #,##0.00000_);_(* \(#,##0.00000\);_(* &quot;-&quot;??_);_(@_)"/>
  </numFmts>
  <fonts count="12" x14ac:knownFonts="1">
    <font>
      <sz val="11"/>
      <color theme="1"/>
      <name val="Calibri"/>
      <family val="2"/>
      <scheme val="minor"/>
    </font>
    <font>
      <sz val="11"/>
      <color theme="1"/>
      <name val="Calibri"/>
      <family val="2"/>
      <scheme val="minor"/>
    </font>
    <font>
      <sz val="10"/>
      <name val="Arial"/>
      <family val="2"/>
    </font>
    <font>
      <b/>
      <i/>
      <sz val="11"/>
      <color rgb="FFFF0000"/>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sz val="11"/>
      <color rgb="FF0070C0"/>
      <name val="Calibri"/>
      <family val="2"/>
      <scheme val="minor"/>
    </font>
    <font>
      <sz val="11"/>
      <color rgb="FF000000"/>
      <name val="Calibri"/>
      <family val="2"/>
      <scheme val="minor"/>
    </font>
    <font>
      <sz val="11"/>
      <name val="Calibri"/>
      <family val="2"/>
      <scheme val="minor"/>
    </font>
    <font>
      <i/>
      <sz val="11"/>
      <name val="Calibri"/>
      <family val="2"/>
      <scheme val="minor"/>
    </font>
    <font>
      <sz val="10"/>
      <name val="Calibri"/>
      <family val="2"/>
      <scheme val="minor"/>
    </font>
  </fonts>
  <fills count="8">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6"/>
        <bgColor indexed="64"/>
      </patternFill>
    </fill>
    <fill>
      <patternFill patternType="solid">
        <fgColor theme="4"/>
        <bgColor indexed="64"/>
      </patternFill>
    </fill>
    <fill>
      <patternFill patternType="solid">
        <fgColor theme="5"/>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cellStyleXfs>
  <cellXfs count="121">
    <xf numFmtId="0" fontId="0" fillId="0" borderId="0" xfId="0"/>
    <xf numFmtId="0" fontId="3" fillId="0" borderId="0" xfId="0" applyFont="1"/>
    <xf numFmtId="0" fontId="4" fillId="0" borderId="0" xfId="0" applyFont="1"/>
    <xf numFmtId="0" fontId="1" fillId="0" borderId="0" xfId="0" applyFont="1"/>
    <xf numFmtId="0" fontId="5" fillId="0" borderId="0" xfId="5" applyFont="1"/>
    <xf numFmtId="0" fontId="6" fillId="0" borderId="0" xfId="5" applyFont="1"/>
    <xf numFmtId="0" fontId="7" fillId="0" borderId="0" xfId="5" applyFont="1"/>
    <xf numFmtId="0" fontId="1" fillId="0" borderId="0" xfId="0" quotePrefix="1" applyFont="1"/>
    <xf numFmtId="9" fontId="7" fillId="0" borderId="0" xfId="0" applyNumberFormat="1" applyFont="1"/>
    <xf numFmtId="9" fontId="1" fillId="0" borderId="0" xfId="0" applyNumberFormat="1" applyFont="1"/>
    <xf numFmtId="165" fontId="7" fillId="0" borderId="0" xfId="0" applyNumberFormat="1" applyFont="1"/>
    <xf numFmtId="0" fontId="1" fillId="0" borderId="0" xfId="0" applyFont="1" applyAlignment="1">
      <alignment horizontal="center" wrapText="1"/>
    </xf>
    <xf numFmtId="44" fontId="1" fillId="0" borderId="0" xfId="2" applyFont="1" applyFill="1"/>
    <xf numFmtId="165" fontId="1" fillId="0" borderId="0" xfId="0" applyNumberFormat="1" applyFont="1"/>
    <xf numFmtId="0" fontId="1" fillId="0" borderId="0" xfId="0" applyFont="1" applyAlignment="1">
      <alignment horizontal="right" wrapText="1"/>
    </xf>
    <xf numFmtId="164" fontId="1" fillId="0" borderId="0" xfId="2" applyNumberFormat="1" applyFont="1"/>
    <xf numFmtId="164" fontId="1" fillId="0" borderId="0" xfId="0" applyNumberFormat="1" applyFont="1"/>
    <xf numFmtId="165" fontId="1" fillId="0" borderId="0" xfId="3" applyNumberFormat="1" applyFont="1"/>
    <xf numFmtId="165" fontId="1" fillId="0" borderId="5" xfId="3" applyNumberFormat="1" applyFont="1" applyBorder="1"/>
    <xf numFmtId="0" fontId="1" fillId="0" borderId="0" xfId="0" quotePrefix="1" applyFont="1" applyAlignment="1">
      <alignment horizontal="right"/>
    </xf>
    <xf numFmtId="0" fontId="1" fillId="0" borderId="1" xfId="0" applyFont="1" applyBorder="1" applyAlignment="1">
      <alignment horizontal="center" vertical="top"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0" xfId="0" applyFont="1" applyAlignment="1">
      <alignment horizontal="center" vertical="center"/>
    </xf>
    <xf numFmtId="0" fontId="8" fillId="0" borderId="0" xfId="0" applyFont="1" applyAlignment="1">
      <alignment horizontal="center" vertical="center" wrapText="1"/>
    </xf>
    <xf numFmtId="0" fontId="1" fillId="0" borderId="5" xfId="0" applyFont="1" applyBorder="1"/>
    <xf numFmtId="164" fontId="1" fillId="0" borderId="5" xfId="0" applyNumberFormat="1" applyFont="1" applyBorder="1"/>
    <xf numFmtId="164" fontId="1" fillId="0" borderId="5" xfId="2" applyNumberFormat="1" applyFont="1" applyBorder="1"/>
    <xf numFmtId="166" fontId="8" fillId="0" borderId="1" xfId="1" applyNumberFormat="1" applyFont="1" applyBorder="1" applyAlignment="1">
      <alignment horizontal="center" vertical="center"/>
    </xf>
    <xf numFmtId="166" fontId="8" fillId="0" borderId="0" xfId="1" applyNumberFormat="1" applyFont="1" applyAlignment="1">
      <alignment horizontal="center" vertical="center"/>
    </xf>
    <xf numFmtId="0" fontId="1" fillId="0" borderId="6" xfId="0" applyFont="1" applyBorder="1"/>
    <xf numFmtId="1" fontId="7" fillId="0" borderId="6" xfId="1" applyNumberFormat="1" applyFont="1" applyBorder="1" applyAlignment="1">
      <alignment horizontal="right"/>
    </xf>
    <xf numFmtId="164" fontId="1" fillId="0" borderId="6" xfId="2" applyNumberFormat="1" applyFont="1" applyBorder="1"/>
    <xf numFmtId="165" fontId="1" fillId="0" borderId="6" xfId="3" applyNumberFormat="1" applyFont="1" applyBorder="1"/>
    <xf numFmtId="164" fontId="1" fillId="0" borderId="6" xfId="0" applyNumberFormat="1" applyFont="1" applyBorder="1"/>
    <xf numFmtId="166" fontId="1" fillId="0" borderId="0" xfId="1" applyNumberFormat="1" applyFont="1"/>
    <xf numFmtId="166" fontId="1" fillId="0" borderId="0" xfId="0" applyNumberFormat="1" applyFont="1"/>
    <xf numFmtId="1" fontId="1" fillId="0" borderId="6" xfId="1" applyNumberFormat="1" applyFont="1" applyBorder="1" applyAlignment="1">
      <alignment horizontal="right"/>
    </xf>
    <xf numFmtId="0" fontId="1" fillId="0" borderId="7" xfId="0" applyFont="1" applyBorder="1"/>
    <xf numFmtId="1" fontId="1" fillId="0" borderId="7" xfId="1" applyNumberFormat="1" applyFont="1" applyBorder="1" applyAlignment="1">
      <alignment horizontal="right"/>
    </xf>
    <xf numFmtId="164" fontId="1" fillId="0" borderId="7" xfId="2" applyNumberFormat="1" applyFont="1" applyBorder="1"/>
    <xf numFmtId="165" fontId="1" fillId="0" borderId="7" xfId="3" applyNumberFormat="1" applyFont="1" applyBorder="1"/>
    <xf numFmtId="164" fontId="1" fillId="0" borderId="7" xfId="0" applyNumberFormat="1" applyFont="1" applyBorder="1"/>
    <xf numFmtId="43" fontId="1" fillId="0" borderId="0" xfId="0" applyNumberFormat="1" applyFont="1"/>
    <xf numFmtId="1" fontId="1" fillId="0" borderId="0" xfId="1" applyNumberFormat="1" applyFont="1" applyBorder="1" applyAlignment="1">
      <alignment horizontal="right"/>
    </xf>
    <xf numFmtId="164" fontId="1" fillId="0" borderId="0" xfId="2" applyNumberFormat="1" applyFont="1" applyBorder="1"/>
    <xf numFmtId="165" fontId="1" fillId="0" borderId="0" xfId="3" applyNumberFormat="1" applyFont="1" applyBorder="1"/>
    <xf numFmtId="2" fontId="1" fillId="0" borderId="0" xfId="0" applyNumberFormat="1" applyFont="1"/>
    <xf numFmtId="0" fontId="1" fillId="0" borderId="1" xfId="0" applyFont="1" applyBorder="1"/>
    <xf numFmtId="1" fontId="1" fillId="0" borderId="0" xfId="1" applyNumberFormat="1" applyFont="1" applyAlignment="1">
      <alignment horizontal="left"/>
    </xf>
    <xf numFmtId="8" fontId="1" fillId="0" borderId="0" xfId="0" applyNumberFormat="1" applyFont="1"/>
    <xf numFmtId="0" fontId="1" fillId="0" borderId="1" xfId="0" applyFont="1" applyBorder="1" applyAlignment="1">
      <alignment horizontal="center"/>
    </xf>
    <xf numFmtId="166" fontId="1" fillId="0" borderId="1" xfId="1" applyNumberFormat="1" applyFont="1" applyBorder="1"/>
    <xf numFmtId="0" fontId="1" fillId="0" borderId="0" xfId="0" applyFont="1" applyAlignment="1">
      <alignment horizontal="left" wrapText="1"/>
    </xf>
    <xf numFmtId="0" fontId="1" fillId="0" borderId="0" xfId="0" applyFont="1" applyAlignment="1">
      <alignment horizontal="right"/>
    </xf>
    <xf numFmtId="167" fontId="1" fillId="0" borderId="1" xfId="1" applyNumberFormat="1" applyFont="1" applyBorder="1"/>
    <xf numFmtId="166" fontId="1" fillId="0" borderId="0" xfId="1" applyNumberFormat="1" applyFont="1" applyFill="1"/>
    <xf numFmtId="166" fontId="7" fillId="0" borderId="0" xfId="1" applyNumberFormat="1" applyFont="1"/>
    <xf numFmtId="1" fontId="1" fillId="0" borderId="0" xfId="1" applyNumberFormat="1" applyFont="1" applyAlignment="1">
      <alignment horizontal="right"/>
    </xf>
    <xf numFmtId="0" fontId="1" fillId="0" borderId="1" xfId="0" applyFont="1" applyBorder="1" applyAlignment="1">
      <alignment horizontal="left" wrapText="1"/>
    </xf>
    <xf numFmtId="0" fontId="1" fillId="0" borderId="1" xfId="0" applyFont="1" applyBorder="1" applyAlignment="1">
      <alignment horizontal="right"/>
    </xf>
    <xf numFmtId="166" fontId="1" fillId="0" borderId="1" xfId="1" applyNumberFormat="1" applyFont="1" applyFill="1" applyBorder="1"/>
    <xf numFmtId="166" fontId="4" fillId="0" borderId="1" xfId="1" applyNumberFormat="1" applyFont="1" applyBorder="1" applyAlignment="1">
      <alignment horizontal="right"/>
    </xf>
    <xf numFmtId="166" fontId="4" fillId="0" borderId="1" xfId="1" applyNumberFormat="1" applyFont="1" applyBorder="1"/>
    <xf numFmtId="0" fontId="4" fillId="0" borderId="0" xfId="0" applyFont="1" applyAlignment="1">
      <alignment horizontal="right"/>
    </xf>
    <xf numFmtId="164" fontId="4" fillId="0" borderId="0" xfId="0" applyNumberFormat="1" applyFont="1"/>
    <xf numFmtId="44" fontId="1" fillId="0" borderId="0" xfId="0" applyNumberFormat="1" applyFont="1"/>
    <xf numFmtId="164" fontId="1" fillId="2" borderId="0" xfId="2" applyNumberFormat="1" applyFont="1" applyFill="1" applyBorder="1"/>
    <xf numFmtId="164" fontId="1" fillId="3" borderId="0" xfId="2" applyNumberFormat="1" applyFont="1" applyFill="1" applyBorder="1"/>
    <xf numFmtId="0" fontId="1" fillId="3" borderId="0" xfId="0" applyFont="1" applyFill="1"/>
    <xf numFmtId="164" fontId="1" fillId="5" borderId="0" xfId="2" applyNumberFormat="1" applyFont="1" applyFill="1" applyBorder="1"/>
    <xf numFmtId="164" fontId="1" fillId="6" borderId="0" xfId="2" applyNumberFormat="1" applyFont="1" applyFill="1" applyBorder="1"/>
    <xf numFmtId="164" fontId="1" fillId="4" borderId="0" xfId="2" applyNumberFormat="1" applyFont="1" applyFill="1" applyBorder="1"/>
    <xf numFmtId="164" fontId="1" fillId="7" borderId="0" xfId="2" applyNumberFormat="1" applyFont="1" applyFill="1" applyBorder="1"/>
    <xf numFmtId="165" fontId="1" fillId="2" borderId="0" xfId="0" applyNumberFormat="1" applyFont="1" applyFill="1"/>
    <xf numFmtId="164" fontId="1" fillId="2" borderId="0" xfId="0" applyNumberFormat="1" applyFont="1" applyFill="1"/>
    <xf numFmtId="164" fontId="1" fillId="5" borderId="6" xfId="0" applyNumberFormat="1" applyFont="1" applyFill="1" applyBorder="1"/>
    <xf numFmtId="164" fontId="1" fillId="5" borderId="6" xfId="2" applyNumberFormat="1" applyFont="1" applyFill="1" applyBorder="1"/>
    <xf numFmtId="165" fontId="1" fillId="5" borderId="6" xfId="3" applyNumberFormat="1" applyFont="1" applyFill="1" applyBorder="1"/>
    <xf numFmtId="164" fontId="1" fillId="2" borderId="7" xfId="2" applyNumberFormat="1" applyFont="1" applyFill="1" applyBorder="1"/>
    <xf numFmtId="165" fontId="1" fillId="2" borderId="7" xfId="3" applyNumberFormat="1" applyFont="1" applyFill="1" applyBorder="1"/>
    <xf numFmtId="164" fontId="1" fillId="2" borderId="7" xfId="0" applyNumberFormat="1" applyFont="1" applyFill="1" applyBorder="1"/>
    <xf numFmtId="164" fontId="1" fillId="0" borderId="0" xfId="2" applyNumberFormat="1" applyFont="1" applyFill="1"/>
    <xf numFmtId="164" fontId="1" fillId="5" borderId="0" xfId="2" applyNumberFormat="1" applyFont="1" applyFill="1"/>
    <xf numFmtId="164" fontId="1" fillId="2" borderId="0" xfId="2" applyNumberFormat="1" applyFont="1" applyFill="1"/>
    <xf numFmtId="9" fontId="1" fillId="2" borderId="0" xfId="0" applyNumberFormat="1" applyFont="1" applyFill="1"/>
    <xf numFmtId="164" fontId="1" fillId="6" borderId="6" xfId="2" applyNumberFormat="1" applyFont="1" applyFill="1" applyBorder="1"/>
    <xf numFmtId="165" fontId="1" fillId="6" borderId="6" xfId="3" applyNumberFormat="1" applyFont="1" applyFill="1" applyBorder="1"/>
    <xf numFmtId="164" fontId="1" fillId="6" borderId="6" xfId="0" applyNumberFormat="1" applyFont="1" applyFill="1" applyBorder="1"/>
    <xf numFmtId="164" fontId="1" fillId="6" borderId="0" xfId="2" applyNumberFormat="1" applyFont="1" applyFill="1"/>
    <xf numFmtId="9" fontId="1" fillId="3" borderId="0" xfId="0" applyNumberFormat="1" applyFont="1" applyFill="1"/>
    <xf numFmtId="165" fontId="1" fillId="3" borderId="0" xfId="0" applyNumberFormat="1" applyFont="1" applyFill="1"/>
    <xf numFmtId="164" fontId="1" fillId="3" borderId="0" xfId="2" applyNumberFormat="1" applyFont="1" applyFill="1"/>
    <xf numFmtId="164" fontId="1" fillId="4" borderId="6" xfId="2" applyNumberFormat="1" applyFont="1" applyFill="1" applyBorder="1"/>
    <xf numFmtId="165" fontId="1" fillId="4" borderId="6" xfId="3" applyNumberFormat="1" applyFont="1" applyFill="1" applyBorder="1"/>
    <xf numFmtId="164" fontId="1" fillId="4" borderId="6" xfId="0" applyNumberFormat="1" applyFont="1" applyFill="1" applyBorder="1"/>
    <xf numFmtId="164" fontId="1" fillId="3" borderId="7" xfId="2" applyNumberFormat="1" applyFont="1" applyFill="1" applyBorder="1"/>
    <xf numFmtId="165" fontId="1" fillId="3" borderId="7" xfId="3" applyNumberFormat="1" applyFont="1" applyFill="1" applyBorder="1"/>
    <xf numFmtId="164" fontId="1" fillId="3" borderId="7" xfId="0" applyNumberFormat="1" applyFont="1" applyFill="1" applyBorder="1"/>
    <xf numFmtId="164" fontId="1" fillId="3" borderId="6" xfId="2" applyNumberFormat="1" applyFont="1" applyFill="1" applyBorder="1"/>
    <xf numFmtId="164" fontId="1" fillId="0" borderId="6" xfId="2" applyNumberFormat="1" applyFont="1" applyFill="1" applyBorder="1"/>
    <xf numFmtId="164" fontId="1" fillId="4" borderId="0" xfId="2" applyNumberFormat="1" applyFont="1" applyFill="1"/>
    <xf numFmtId="164" fontId="1" fillId="7" borderId="6" xfId="2" applyNumberFormat="1" applyFont="1" applyFill="1" applyBorder="1"/>
    <xf numFmtId="165" fontId="1" fillId="7" borderId="6" xfId="3" applyNumberFormat="1" applyFont="1" applyFill="1" applyBorder="1"/>
    <xf numFmtId="164" fontId="1" fillId="7" borderId="6" xfId="0" applyNumberFormat="1" applyFont="1" applyFill="1" applyBorder="1"/>
    <xf numFmtId="164" fontId="1" fillId="2" borderId="6" xfId="2" applyNumberFormat="1" applyFont="1" applyFill="1" applyBorder="1"/>
    <xf numFmtId="0" fontId="9" fillId="0" borderId="0" xfId="4" applyFont="1"/>
    <xf numFmtId="0" fontId="9" fillId="0" borderId="0" xfId="4" quotePrefix="1" applyFont="1"/>
    <xf numFmtId="0" fontId="6" fillId="0" borderId="0" xfId="4" applyFont="1"/>
    <xf numFmtId="164" fontId="9" fillId="0" borderId="0" xfId="2" applyNumberFormat="1" applyFont="1"/>
    <xf numFmtId="10" fontId="9" fillId="0" borderId="0" xfId="3" applyNumberFormat="1" applyFont="1"/>
    <xf numFmtId="0" fontId="9" fillId="0" borderId="0" xfId="5" applyFont="1"/>
    <xf numFmtId="0" fontId="9" fillId="0" borderId="0" xfId="5" quotePrefix="1" applyFont="1"/>
    <xf numFmtId="9" fontId="9" fillId="0" borderId="0" xfId="0" applyNumberFormat="1" applyFont="1"/>
    <xf numFmtId="165" fontId="9" fillId="0" borderId="0" xfId="0" applyNumberFormat="1" applyFont="1"/>
    <xf numFmtId="0" fontId="11" fillId="0" borderId="0" xfId="5" applyFont="1"/>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1" xfId="0" applyFont="1" applyBorder="1" applyAlignment="1">
      <alignment horizontal="left" indent="3"/>
    </xf>
    <xf numFmtId="0" fontId="6" fillId="0" borderId="0" xfId="4" applyFont="1" applyAlignment="1">
      <alignment horizontal="center"/>
    </xf>
  </cellXfs>
  <cellStyles count="6">
    <cellStyle name="Comma" xfId="1" builtinId="3"/>
    <cellStyle name="Currency" xfId="2" builtinId="4"/>
    <cellStyle name="Normal" xfId="0" builtinId="0"/>
    <cellStyle name="Normal 12" xfId="5" xr:uid="{36C88F9F-0EC1-4107-B05C-7F1712F9965E}"/>
    <cellStyle name="Normal 2" xfId="4" xr:uid="{57B958D8-A59B-4FE5-A962-70625DB37A5C}"/>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7.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8.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GAAP Reserve</a:t>
            </a:r>
          </a:p>
        </c:rich>
      </c:tx>
      <c:overlay val="0"/>
      <c:spPr>
        <a:noFill/>
        <a:ln>
          <a:noFill/>
        </a:ln>
        <a:effectLst/>
      </c:spPr>
    </c:title>
    <c:autoTitleDeleted val="0"/>
    <c:plotArea>
      <c:layout/>
      <c:lineChart>
        <c:grouping val="standard"/>
        <c:varyColors val="0"/>
        <c:ser>
          <c:idx val="0"/>
          <c:order val="0"/>
          <c:tx>
            <c:strRef>
              <c:f>Charts_DLR!$F$13</c:f>
              <c:strCache>
                <c:ptCount val="1"/>
                <c:pt idx="0">
                  <c:v>Base Case</c:v>
                </c:pt>
              </c:strCache>
            </c:strRef>
          </c:tx>
          <c:spPr>
            <a:ln w="28575" cap="rnd">
              <a:solidFill>
                <a:schemeClr val="accent1"/>
              </a:solidFill>
              <a:round/>
            </a:ln>
            <a:effectLst/>
          </c:spPr>
          <c:marker>
            <c:symbol val="none"/>
          </c:marker>
          <c:cat>
            <c:numRef>
              <c:f>Charts_DLR!$E$14:$E$27</c:f>
              <c:numCache>
                <c:formatCode>General</c:formatCode>
                <c:ptCount val="14"/>
                <c:pt idx="0">
                  <c:v>1</c:v>
                </c:pt>
                <c:pt idx="1">
                  <c:v>2</c:v>
                </c:pt>
                <c:pt idx="2">
                  <c:v>3</c:v>
                </c:pt>
                <c:pt idx="3">
                  <c:v>4</c:v>
                </c:pt>
                <c:pt idx="4">
                  <c:v>5</c:v>
                </c:pt>
                <c:pt idx="5">
                  <c:v>6</c:v>
                </c:pt>
                <c:pt idx="6">
                  <c:v>7</c:v>
                </c:pt>
                <c:pt idx="7">
                  <c:v>8</c:v>
                </c:pt>
                <c:pt idx="8">
                  <c:v>9</c:v>
                </c:pt>
                <c:pt idx="9">
                  <c:v>10</c:v>
                </c:pt>
                <c:pt idx="10">
                  <c:v>11</c:v>
                </c:pt>
                <c:pt idx="11">
                  <c:v>12</c:v>
                </c:pt>
                <c:pt idx="12">
                  <c:v>13</c:v>
                </c:pt>
                <c:pt idx="13">
                  <c:v>14</c:v>
                </c:pt>
              </c:numCache>
            </c:numRef>
          </c:cat>
          <c:val>
            <c:numRef>
              <c:f>Charts_DLR!$F$14:$F$27</c:f>
              <c:numCache>
                <c:formatCode>_("$"* #,##0_);_("$"* \(#,##0\);_("$"* "-"??_);_(@_)</c:formatCode>
                <c:ptCount val="14"/>
                <c:pt idx="0">
                  <c:v>279058.15995037323</c:v>
                </c:pt>
                <c:pt idx="1">
                  <c:v>520805.44750149082</c:v>
                </c:pt>
                <c:pt idx="2">
                  <c:v>719977.3775192555</c:v>
                </c:pt>
                <c:pt idx="3">
                  <c:v>872834.07561988034</c:v>
                </c:pt>
                <c:pt idx="4">
                  <c:v>976873.352409655</c:v>
                </c:pt>
                <c:pt idx="5">
                  <c:v>1041683.0192111672</c:v>
                </c:pt>
                <c:pt idx="6">
                  <c:v>1069993.4129320623</c:v>
                </c:pt>
                <c:pt idx="7">
                  <c:v>1064327.2724077159</c:v>
                </c:pt>
                <c:pt idx="8">
                  <c:v>1027012.5300219713</c:v>
                </c:pt>
                <c:pt idx="9">
                  <c:v>960194.30317892658</c:v>
                </c:pt>
                <c:pt idx="10">
                  <c:v>865846.13226225635</c:v>
                </c:pt>
                <c:pt idx="11">
                  <c:v>741514.50831420661</c:v>
                </c:pt>
                <c:pt idx="12">
                  <c:v>574704.72227091296</c:v>
                </c:pt>
                <c:pt idx="13">
                  <c:v>343027.4255089162</c:v>
                </c:pt>
              </c:numCache>
            </c:numRef>
          </c:val>
          <c:smooth val="0"/>
          <c:extLst>
            <c:ext xmlns:c16="http://schemas.microsoft.com/office/drawing/2014/chart" uri="{C3380CC4-5D6E-409C-BE32-E72D297353CC}">
              <c16:uniqueId val="{00000003-D8F6-424F-98C8-5FD4646C9DB3}"/>
            </c:ext>
          </c:extLst>
        </c:ser>
        <c:ser>
          <c:idx val="1"/>
          <c:order val="1"/>
          <c:tx>
            <c:strRef>
              <c:f>Charts_DLR!$G$13</c:f>
              <c:strCache>
                <c:ptCount val="1"/>
                <c:pt idx="0">
                  <c:v>Scenario 1</c:v>
                </c:pt>
              </c:strCache>
            </c:strRef>
          </c:tx>
          <c:marker>
            <c:symbol val="none"/>
          </c:marker>
          <c:val>
            <c:numRef>
              <c:f>Charts_DLR!$G$14:$G$27</c:f>
              <c:numCache>
                <c:formatCode>_("$"* #,##0_);_("$"* \(#,##0\);_("$"* "-"??_);_(@_)</c:formatCode>
                <c:ptCount val="14"/>
                <c:pt idx="0">
                  <c:v>279058.15995037323</c:v>
                </c:pt>
                <c:pt idx="1">
                  <c:v>520805.44750149082</c:v>
                </c:pt>
                <c:pt idx="2">
                  <c:v>719977.3775192555</c:v>
                </c:pt>
                <c:pt idx="3">
                  <c:v>873620.57383182389</c:v>
                </c:pt>
                <c:pt idx="4">
                  <c:v>968848.39719539532</c:v>
                </c:pt>
                <c:pt idx="5">
                  <c:v>1028129.4087439685</c:v>
                </c:pt>
                <c:pt idx="6">
                  <c:v>1054586.7195019051</c:v>
                </c:pt>
                <c:pt idx="7">
                  <c:v>1051020.5891047902</c:v>
                </c:pt>
                <c:pt idx="8">
                  <c:v>1015747.3949808662</c:v>
                </c:pt>
                <c:pt idx="9">
                  <c:v>950916.80647993425</c:v>
                </c:pt>
                <c:pt idx="10">
                  <c:v>858506.74534392334</c:v>
                </c:pt>
                <c:pt idx="11">
                  <c:v>736067.92391059978</c:v>
                </c:pt>
                <c:pt idx="12">
                  <c:v>571109.70441720437</c:v>
                </c:pt>
                <c:pt idx="13">
                  <c:v>341246.66918415093</c:v>
                </c:pt>
              </c:numCache>
            </c:numRef>
          </c:val>
          <c:smooth val="0"/>
          <c:extLst>
            <c:ext xmlns:c16="http://schemas.microsoft.com/office/drawing/2014/chart" uri="{C3380CC4-5D6E-409C-BE32-E72D297353CC}">
              <c16:uniqueId val="{00000004-D8F6-424F-98C8-5FD4646C9DB3}"/>
            </c:ext>
          </c:extLst>
        </c:ser>
        <c:ser>
          <c:idx val="2"/>
          <c:order val="2"/>
          <c:tx>
            <c:strRef>
              <c:f>Charts_DLR!$H$13</c:f>
              <c:strCache>
                <c:ptCount val="1"/>
                <c:pt idx="0">
                  <c:v>Scenario 2</c:v>
                </c:pt>
              </c:strCache>
            </c:strRef>
          </c:tx>
          <c:spPr>
            <a:ln w="19050">
              <a:solidFill>
                <a:schemeClr val="accent3"/>
              </a:solidFill>
            </a:ln>
          </c:spPr>
          <c:marker>
            <c:symbol val="none"/>
          </c:marker>
          <c:val>
            <c:numRef>
              <c:f>Charts_DLR!$H$14:$H$27</c:f>
              <c:numCache>
                <c:formatCode>_("$"* #,##0_);_("$"* \(#,##0\);_("$"* "-"??_);_(@_)</c:formatCode>
                <c:ptCount val="14"/>
                <c:pt idx="0">
                  <c:v>279058.15995037323</c:v>
                </c:pt>
                <c:pt idx="1">
                  <c:v>520805.44750149082</c:v>
                </c:pt>
                <c:pt idx="2">
                  <c:v>719977.3775192555</c:v>
                </c:pt>
                <c:pt idx="3">
                  <c:v>873620.57383182389</c:v>
                </c:pt>
                <c:pt idx="4">
                  <c:v>1197590.1524546451</c:v>
                </c:pt>
                <c:pt idx="5">
                  <c:v>1269275.8200896422</c:v>
                </c:pt>
                <c:pt idx="6">
                  <c:v>1295801.6245394123</c:v>
                </c:pt>
                <c:pt idx="7">
                  <c:v>1284276.875672044</c:v>
                </c:pt>
                <c:pt idx="8">
                  <c:v>1235911.1779753577</c:v>
                </c:pt>
                <c:pt idx="9">
                  <c:v>1151127.8621687593</c:v>
                </c:pt>
                <c:pt idx="10">
                  <c:v>1032358.0819583179</c:v>
                </c:pt>
                <c:pt idx="11">
                  <c:v>877568.3157504769</c:v>
                </c:pt>
                <c:pt idx="12">
                  <c:v>674221.91413207306</c:v>
                </c:pt>
                <c:pt idx="13">
                  <c:v>398460.14059858298</c:v>
                </c:pt>
              </c:numCache>
            </c:numRef>
          </c:val>
          <c:smooth val="0"/>
          <c:extLst>
            <c:ext xmlns:c16="http://schemas.microsoft.com/office/drawing/2014/chart" uri="{C3380CC4-5D6E-409C-BE32-E72D297353CC}">
              <c16:uniqueId val="{00000005-D8F6-424F-98C8-5FD4646C9DB3}"/>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plotArea>
    <c:legend>
      <c:legendPos val="b"/>
      <c:overlay val="0"/>
    </c:legend>
    <c:plotVisOnly val="1"/>
    <c:dispBlanksAs val="zero"/>
    <c:showDLblsOverMax val="0"/>
    <c:extLst/>
  </c:chart>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Income</a:t>
            </a:r>
          </a:p>
        </c:rich>
      </c:tx>
      <c:overlay val="0"/>
      <c:spPr>
        <a:noFill/>
        <a:ln>
          <a:noFill/>
        </a:ln>
        <a:effectLst/>
      </c:spPr>
    </c:title>
    <c:autoTitleDeleted val="0"/>
    <c:plotArea>
      <c:layout/>
      <c:lineChart>
        <c:grouping val="standard"/>
        <c:varyColors val="0"/>
        <c:ser>
          <c:idx val="0"/>
          <c:order val="0"/>
          <c:tx>
            <c:strRef>
              <c:f>Charts_RI!$F$38</c:f>
              <c:strCache>
                <c:ptCount val="1"/>
                <c:pt idx="0">
                  <c:v>Scenario 2</c:v>
                </c:pt>
              </c:strCache>
            </c:strRef>
          </c:tx>
          <c:spPr>
            <a:ln w="19050">
              <a:solidFill>
                <a:schemeClr val="accent3"/>
              </a:solidFill>
            </a:ln>
          </c:spPr>
          <c:marker>
            <c:symbol val="none"/>
          </c:marker>
          <c:cat>
            <c:numRef>
              <c:extLst>
                <c:ext xmlns:c15="http://schemas.microsoft.com/office/drawing/2012/chart" uri="{02D57815-91ED-43cb-92C2-25804820EDAC}">
                  <c15:fullRef>
                    <c15:sqref>Charts_RI!$E$14:$E$27</c15:sqref>
                  </c15:fullRef>
                </c:ext>
              </c:extLst>
              <c:f>Charts_RI!$E$18:$E$27</c:f>
              <c:numCache>
                <c:formatCode>General</c:formatCode>
                <c:ptCount val="10"/>
                <c:pt idx="0">
                  <c:v>5</c:v>
                </c:pt>
                <c:pt idx="1">
                  <c:v>6</c:v>
                </c:pt>
                <c:pt idx="2">
                  <c:v>7</c:v>
                </c:pt>
                <c:pt idx="3">
                  <c:v>8</c:v>
                </c:pt>
                <c:pt idx="4">
                  <c:v>9</c:v>
                </c:pt>
                <c:pt idx="5">
                  <c:v>10</c:v>
                </c:pt>
                <c:pt idx="6">
                  <c:v>11</c:v>
                </c:pt>
                <c:pt idx="7">
                  <c:v>12</c:v>
                </c:pt>
                <c:pt idx="8">
                  <c:v>13</c:v>
                </c:pt>
                <c:pt idx="9">
                  <c:v>14</c:v>
                </c:pt>
              </c:numCache>
            </c:numRef>
          </c:cat>
          <c:val>
            <c:numRef>
              <c:extLst>
                <c:ext xmlns:c15="http://schemas.microsoft.com/office/drawing/2012/chart" uri="{02D57815-91ED-43cb-92C2-25804820EDAC}">
                  <c15:fullRef>
                    <c15:sqref>Charts_RI!$F$39:$F$52</c15:sqref>
                  </c15:fullRef>
                </c:ext>
              </c:extLst>
              <c:f>Charts_RI!$F$43:$F$52</c:f>
              <c:numCache>
                <c:formatCode>_("$"* #,##0_);_("$"* \(#,##0\);_("$"* "-"??_);_(@_)</c:formatCode>
                <c:ptCount val="10"/>
                <c:pt idx="0">
                  <c:v>-120524.32764550915</c:v>
                </c:pt>
                <c:pt idx="1">
                  <c:v>83908.635018203815</c:v>
                </c:pt>
                <c:pt idx="2">
                  <c:v>79713.203267291246</c:v>
                </c:pt>
                <c:pt idx="3">
                  <c:v>75727.54310392862</c:v>
                </c:pt>
                <c:pt idx="4">
                  <c:v>71941.165948731184</c:v>
                </c:pt>
                <c:pt idx="5">
                  <c:v>68344.107651295082</c:v>
                </c:pt>
                <c:pt idx="6">
                  <c:v>64926.90226873057</c:v>
                </c:pt>
                <c:pt idx="7">
                  <c:v>61680.557155293354</c:v>
                </c:pt>
                <c:pt idx="8">
                  <c:v>58596.529297529138</c:v>
                </c:pt>
                <c:pt idx="9">
                  <c:v>55666.702832652605</c:v>
                </c:pt>
              </c:numCache>
            </c:numRef>
          </c:val>
          <c:smooth val="0"/>
          <c:extLst>
            <c:ext xmlns:c16="http://schemas.microsoft.com/office/drawing/2014/chart" uri="{C3380CC4-5D6E-409C-BE32-E72D297353CC}">
              <c16:uniqueId val="{00000000-F4D3-4107-B70A-45BD76D3194D}"/>
            </c:ext>
          </c:extLst>
        </c:ser>
        <c:ser>
          <c:idx val="1"/>
          <c:order val="1"/>
          <c:tx>
            <c:strRef>
              <c:f>Charts_RI!$G$38</c:f>
              <c:strCache>
                <c:ptCount val="1"/>
                <c:pt idx="0">
                  <c:v>Scenario 3</c:v>
                </c:pt>
              </c:strCache>
            </c:strRef>
          </c:tx>
          <c:spPr>
            <a:ln w="19050">
              <a:solidFill>
                <a:schemeClr val="bg2"/>
              </a:solidFill>
            </a:ln>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Charts_RI!$G$39:$G$52</c15:sqref>
                  </c15:fullRef>
                </c:ext>
              </c:extLst>
              <c:f>Charts_RI!$G$43:$G$52</c:f>
              <c:numCache>
                <c:formatCode>_("$"* #,##0_);_("$"* \(#,##0\);_("$"* "-"??_);_(@_)</c:formatCode>
                <c:ptCount val="10"/>
                <c:pt idx="0">
                  <c:v>-120524.32764550915</c:v>
                </c:pt>
                <c:pt idx="1">
                  <c:v>242374.06930798892</c:v>
                </c:pt>
                <c:pt idx="2">
                  <c:v>109724.80727310485</c:v>
                </c:pt>
                <c:pt idx="3">
                  <c:v>113714.80026485503</c:v>
                </c:pt>
                <c:pt idx="4">
                  <c:v>108029.06025161169</c:v>
                </c:pt>
                <c:pt idx="5">
                  <c:v>102627.60723903164</c:v>
                </c:pt>
                <c:pt idx="6">
                  <c:v>97496.226877080451</c:v>
                </c:pt>
                <c:pt idx="7">
                  <c:v>92621.415533225576</c:v>
                </c:pt>
                <c:pt idx="8">
                  <c:v>87990.344756564824</c:v>
                </c:pt>
                <c:pt idx="9">
                  <c:v>83590.82751873642</c:v>
                </c:pt>
              </c:numCache>
            </c:numRef>
          </c:val>
          <c:smooth val="0"/>
          <c:extLst>
            <c:ext xmlns:c16="http://schemas.microsoft.com/office/drawing/2014/chart" uri="{C3380CC4-5D6E-409C-BE32-E72D297353CC}">
              <c16:uniqueId val="{00000001-F4D3-4107-B70A-45BD76D3194D}"/>
            </c:ext>
          </c:extLst>
        </c:ser>
        <c:ser>
          <c:idx val="2"/>
          <c:order val="2"/>
          <c:tx>
            <c:strRef>
              <c:f>Charts_RI!$H$38</c:f>
              <c:strCache>
                <c:ptCount val="1"/>
                <c:pt idx="0">
                  <c:v>Scenario 4</c:v>
                </c:pt>
              </c:strCache>
            </c:strRef>
          </c:tx>
          <c:spPr>
            <a:ln w="19050">
              <a:solidFill>
                <a:schemeClr val="accent6"/>
              </a:solidFill>
            </a:ln>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Charts_RI!$H$39:$H$52</c15:sqref>
                  </c15:fullRef>
                </c:ext>
              </c:extLst>
              <c:f>Charts_RI!$H$43:$H$52</c:f>
              <c:numCache>
                <c:formatCode>_("$"* #,##0_);_("$"* \(#,##0\);_("$"* "-"??_);_(@_)</c:formatCode>
                <c:ptCount val="10"/>
                <c:pt idx="0">
                  <c:v>-120524.32764550915</c:v>
                </c:pt>
                <c:pt idx="1">
                  <c:v>242374.06930798892</c:v>
                </c:pt>
                <c:pt idx="2">
                  <c:v>81748.466967155749</c:v>
                </c:pt>
                <c:pt idx="3">
                  <c:v>105119.08530047291</c:v>
                </c:pt>
                <c:pt idx="4">
                  <c:v>99863.131035447877</c:v>
                </c:pt>
                <c:pt idx="5">
                  <c:v>94869.974483676429</c:v>
                </c:pt>
                <c:pt idx="6">
                  <c:v>90126.475759492954</c:v>
                </c:pt>
                <c:pt idx="7">
                  <c:v>85620.15197151748</c:v>
                </c:pt>
                <c:pt idx="8">
                  <c:v>81339.144372942043</c:v>
                </c:pt>
                <c:pt idx="9">
                  <c:v>77272.187154294748</c:v>
                </c:pt>
              </c:numCache>
            </c:numRef>
          </c:val>
          <c:smooth val="0"/>
          <c:extLst>
            <c:ext xmlns:c16="http://schemas.microsoft.com/office/drawing/2014/chart" uri="{C3380CC4-5D6E-409C-BE32-E72D297353CC}">
              <c16:uniqueId val="{00000002-F4D3-4107-B70A-45BD76D3194D}"/>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plotArea>
    <c:legend>
      <c:legendPos val="b"/>
      <c:overlay val="0"/>
    </c:legend>
    <c:plotVisOnly val="1"/>
    <c:dispBlanksAs val="zero"/>
    <c:showDLblsOverMax val="0"/>
    <c:extLst/>
  </c:chart>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Benefit Reserve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Charts_DLR!$I$13</c:f>
              <c:strCache>
                <c:ptCount val="1"/>
                <c:pt idx="0">
                  <c:v>Base Case</c:v>
                </c:pt>
              </c:strCache>
            </c:strRef>
          </c:tx>
          <c:spPr>
            <a:ln w="19050" cap="rnd">
              <a:solidFill>
                <a:schemeClr val="accent1"/>
              </a:solidFill>
              <a:round/>
            </a:ln>
            <a:effectLst/>
          </c:spPr>
          <c:marker>
            <c:symbol val="none"/>
          </c:marker>
          <c:cat>
            <c:numRef>
              <c:f>Charts_DLR!$E$14:$E$27</c:f>
              <c:numCache>
                <c:formatCode>General</c:formatCode>
                <c:ptCount val="14"/>
                <c:pt idx="0">
                  <c:v>1</c:v>
                </c:pt>
                <c:pt idx="1">
                  <c:v>2</c:v>
                </c:pt>
                <c:pt idx="2">
                  <c:v>3</c:v>
                </c:pt>
                <c:pt idx="3">
                  <c:v>4</c:v>
                </c:pt>
                <c:pt idx="4">
                  <c:v>5</c:v>
                </c:pt>
                <c:pt idx="5">
                  <c:v>6</c:v>
                </c:pt>
                <c:pt idx="6">
                  <c:v>7</c:v>
                </c:pt>
                <c:pt idx="7">
                  <c:v>8</c:v>
                </c:pt>
                <c:pt idx="8">
                  <c:v>9</c:v>
                </c:pt>
                <c:pt idx="9">
                  <c:v>10</c:v>
                </c:pt>
                <c:pt idx="10">
                  <c:v>11</c:v>
                </c:pt>
                <c:pt idx="11">
                  <c:v>12</c:v>
                </c:pt>
                <c:pt idx="12">
                  <c:v>13</c:v>
                </c:pt>
                <c:pt idx="13">
                  <c:v>14</c:v>
                </c:pt>
              </c:numCache>
            </c:numRef>
          </c:cat>
          <c:val>
            <c:numRef>
              <c:f>Charts_DLR!$I$14:$I$27</c:f>
              <c:numCache>
                <c:formatCode>_("$"* #,##0_);_("$"* \(#,##0\);_("$"* "-"??_);_(@_)</c:formatCode>
                <c:ptCount val="14"/>
                <c:pt idx="0">
                  <c:v>216445.12562154746</c:v>
                </c:pt>
                <c:pt idx="1">
                  <c:v>388027.38305258006</c:v>
                </c:pt>
                <c:pt idx="2">
                  <c:v>517879.30385110201</c:v>
                </c:pt>
                <c:pt idx="3">
                  <c:v>608903.88110415009</c:v>
                </c:pt>
                <c:pt idx="4">
                  <c:v>663788.69645899511</c:v>
                </c:pt>
                <c:pt idx="5">
                  <c:v>685019.17345536058</c:v>
                </c:pt>
                <c:pt idx="6">
                  <c:v>674891.0079915002</c:v>
                </c:pt>
                <c:pt idx="7">
                  <c:v>635521.82381526264</c:v>
                </c:pt>
                <c:pt idx="8">
                  <c:v>568862.09815516812</c:v>
                </c:pt>
                <c:pt idx="9">
                  <c:v>476705.39998668933</c:v>
                </c:pt>
                <c:pt idx="10">
                  <c:v>360697.98095679551</c:v>
                </c:pt>
                <c:pt idx="11">
                  <c:v>251384.31817880098</c:v>
                </c:pt>
                <c:pt idx="12">
                  <c:v>141280.57436217024</c:v>
                </c:pt>
                <c:pt idx="13">
                  <c:v>45206.217239137273</c:v>
                </c:pt>
              </c:numCache>
            </c:numRef>
          </c:val>
          <c:smooth val="0"/>
          <c:extLst>
            <c:ext xmlns:c16="http://schemas.microsoft.com/office/drawing/2014/chart" uri="{C3380CC4-5D6E-409C-BE32-E72D297353CC}">
              <c16:uniqueId val="{00000000-6414-43F0-9B43-4C235A681426}"/>
            </c:ext>
          </c:extLst>
        </c:ser>
        <c:ser>
          <c:idx val="1"/>
          <c:order val="1"/>
          <c:tx>
            <c:strRef>
              <c:f>Charts_DLR!$J$13</c:f>
              <c:strCache>
                <c:ptCount val="1"/>
                <c:pt idx="0">
                  <c:v>Scenario 1</c:v>
                </c:pt>
              </c:strCache>
            </c:strRef>
          </c:tx>
          <c:spPr>
            <a:ln w="19050" cap="rnd">
              <a:solidFill>
                <a:schemeClr val="accent2"/>
              </a:solidFill>
              <a:round/>
            </a:ln>
            <a:effectLst/>
          </c:spPr>
          <c:marker>
            <c:symbol val="none"/>
          </c:marker>
          <c:val>
            <c:numRef>
              <c:f>Charts_DLR!$J$14:$J$27</c:f>
              <c:numCache>
                <c:formatCode>_("$"* #,##0_);_("$"* \(#,##0\);_("$"* "-"??_);_(@_)</c:formatCode>
                <c:ptCount val="14"/>
                <c:pt idx="0">
                  <c:v>216445.12562154746</c:v>
                </c:pt>
                <c:pt idx="1">
                  <c:v>388027.38305258006</c:v>
                </c:pt>
                <c:pt idx="2">
                  <c:v>517879.30385110201</c:v>
                </c:pt>
                <c:pt idx="3">
                  <c:v>586798.07306670421</c:v>
                </c:pt>
                <c:pt idx="4">
                  <c:v>643987.46990161738</c:v>
                </c:pt>
                <c:pt idx="5">
                  <c:v>667449.2744917844</c:v>
                </c:pt>
                <c:pt idx="6">
                  <c:v>659484.31456134305</c:v>
                </c:pt>
                <c:pt idx="7">
                  <c:v>622215.14051233698</c:v>
                </c:pt>
                <c:pt idx="8">
                  <c:v>557596.96311406302</c:v>
                </c:pt>
                <c:pt idx="9">
                  <c:v>467427.903287697</c:v>
                </c:pt>
                <c:pt idx="10">
                  <c:v>353358.5940384625</c:v>
                </c:pt>
                <c:pt idx="11">
                  <c:v>245937.73377519415</c:v>
                </c:pt>
                <c:pt idx="12">
                  <c:v>137685.5565084616</c:v>
                </c:pt>
                <c:pt idx="13">
                  <c:v>43425.460914372001</c:v>
                </c:pt>
              </c:numCache>
            </c:numRef>
          </c:val>
          <c:smooth val="0"/>
          <c:extLst>
            <c:ext xmlns:c16="http://schemas.microsoft.com/office/drawing/2014/chart" uri="{C3380CC4-5D6E-409C-BE32-E72D297353CC}">
              <c16:uniqueId val="{00000001-6414-43F0-9B43-4C235A681426}"/>
            </c:ext>
          </c:extLst>
        </c:ser>
        <c:ser>
          <c:idx val="2"/>
          <c:order val="2"/>
          <c:tx>
            <c:strRef>
              <c:f>Charts_DLR!$K$13</c:f>
              <c:strCache>
                <c:ptCount val="1"/>
                <c:pt idx="0">
                  <c:v>Scenario 2</c:v>
                </c:pt>
              </c:strCache>
            </c:strRef>
          </c:tx>
          <c:spPr>
            <a:ln w="19050" cap="rnd">
              <a:solidFill>
                <a:schemeClr val="accent3"/>
              </a:solidFill>
              <a:round/>
            </a:ln>
            <a:effectLst/>
          </c:spPr>
          <c:marker>
            <c:symbol val="none"/>
          </c:marker>
          <c:val>
            <c:numRef>
              <c:f>Charts_DLR!$K$14:$K$27</c:f>
              <c:numCache>
                <c:formatCode>_("$"* #,##0_);_("$"* \(#,##0\);_("$"* "-"??_);_(@_)</c:formatCode>
                <c:ptCount val="14"/>
                <c:pt idx="0">
                  <c:v>216445.12562154746</c:v>
                </c:pt>
                <c:pt idx="1">
                  <c:v>388027.38305258006</c:v>
                </c:pt>
                <c:pt idx="2">
                  <c:v>517879.30385110201</c:v>
                </c:pt>
                <c:pt idx="3">
                  <c:v>586798.07306670421</c:v>
                </c:pt>
                <c:pt idx="4">
                  <c:v>756453.28513466916</c:v>
                </c:pt>
                <c:pt idx="5">
                  <c:v>773673.74181747087</c:v>
                </c:pt>
                <c:pt idx="6">
                  <c:v>752967.96618308756</c:v>
                </c:pt>
                <c:pt idx="7">
                  <c:v>696884.57345126662</c:v>
                </c:pt>
                <c:pt idx="8">
                  <c:v>607770.09941011644</c:v>
                </c:pt>
                <c:pt idx="9">
                  <c:v>487781.36564905313</c:v>
                </c:pt>
                <c:pt idx="10">
                  <c:v>338897.06197600684</c:v>
                </c:pt>
                <c:pt idx="11">
                  <c:v>213460.32447376108</c:v>
                </c:pt>
                <c:pt idx="12">
                  <c:v>101871.06912666553</c:v>
                </c:pt>
                <c:pt idx="13">
                  <c:v>19157.37906428217</c:v>
                </c:pt>
              </c:numCache>
            </c:numRef>
          </c:val>
          <c:smooth val="0"/>
          <c:extLst>
            <c:ext xmlns:c16="http://schemas.microsoft.com/office/drawing/2014/chart" uri="{C3380CC4-5D6E-409C-BE32-E72D297353CC}">
              <c16:uniqueId val="{00000002-6414-43F0-9B43-4C235A681426}"/>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Claim Reserve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Charts_DLR!$L$13</c:f>
              <c:strCache>
                <c:ptCount val="1"/>
                <c:pt idx="0">
                  <c:v>Base Case</c:v>
                </c:pt>
              </c:strCache>
            </c:strRef>
          </c:tx>
          <c:spPr>
            <a:ln w="19050" cap="rnd">
              <a:solidFill>
                <a:schemeClr val="accent1"/>
              </a:solidFill>
              <a:round/>
            </a:ln>
            <a:effectLst/>
          </c:spPr>
          <c:marker>
            <c:symbol val="none"/>
          </c:marker>
          <c:cat>
            <c:numRef>
              <c:f>Charts_DLR!$E$14:$E$27</c:f>
              <c:numCache>
                <c:formatCode>General</c:formatCode>
                <c:ptCount val="14"/>
                <c:pt idx="0">
                  <c:v>1</c:v>
                </c:pt>
                <c:pt idx="1">
                  <c:v>2</c:v>
                </c:pt>
                <c:pt idx="2">
                  <c:v>3</c:v>
                </c:pt>
                <c:pt idx="3">
                  <c:v>4</c:v>
                </c:pt>
                <c:pt idx="4">
                  <c:v>5</c:v>
                </c:pt>
                <c:pt idx="5">
                  <c:v>6</c:v>
                </c:pt>
                <c:pt idx="6">
                  <c:v>7</c:v>
                </c:pt>
                <c:pt idx="7">
                  <c:v>8</c:v>
                </c:pt>
                <c:pt idx="8">
                  <c:v>9</c:v>
                </c:pt>
                <c:pt idx="9">
                  <c:v>10</c:v>
                </c:pt>
                <c:pt idx="10">
                  <c:v>11</c:v>
                </c:pt>
                <c:pt idx="11">
                  <c:v>12</c:v>
                </c:pt>
                <c:pt idx="12">
                  <c:v>13</c:v>
                </c:pt>
                <c:pt idx="13">
                  <c:v>14</c:v>
                </c:pt>
              </c:numCache>
            </c:numRef>
          </c:cat>
          <c:val>
            <c:numRef>
              <c:f>Charts_DLR!$L$14:$L$27</c:f>
              <c:numCache>
                <c:formatCode>_("$"* #,##0_);_("$"* \(#,##0\);_("$"* "-"??_);_(@_)</c:formatCode>
                <c:ptCount val="14"/>
                <c:pt idx="0">
                  <c:v>62613.034328825532</c:v>
                </c:pt>
                <c:pt idx="1">
                  <c:v>132778.06444891082</c:v>
                </c:pt>
                <c:pt idx="2">
                  <c:v>202098.07366815279</c:v>
                </c:pt>
                <c:pt idx="3">
                  <c:v>263930.19451573008</c:v>
                </c:pt>
                <c:pt idx="4">
                  <c:v>313084.65595065942</c:v>
                </c:pt>
                <c:pt idx="5">
                  <c:v>356663.84575580654</c:v>
                </c:pt>
                <c:pt idx="6">
                  <c:v>395102.40494056232</c:v>
                </c:pt>
                <c:pt idx="7">
                  <c:v>428805.44859245291</c:v>
                </c:pt>
                <c:pt idx="8">
                  <c:v>458150.43186680309</c:v>
                </c:pt>
                <c:pt idx="9">
                  <c:v>483488.90319223714</c:v>
                </c:pt>
                <c:pt idx="10">
                  <c:v>505148.15130546072</c:v>
                </c:pt>
                <c:pt idx="11">
                  <c:v>490130.19013540552</c:v>
                </c:pt>
                <c:pt idx="12">
                  <c:v>433424.14790874277</c:v>
                </c:pt>
                <c:pt idx="13">
                  <c:v>297821.20826977893</c:v>
                </c:pt>
              </c:numCache>
            </c:numRef>
          </c:val>
          <c:smooth val="0"/>
          <c:extLst>
            <c:ext xmlns:c16="http://schemas.microsoft.com/office/drawing/2014/chart" uri="{C3380CC4-5D6E-409C-BE32-E72D297353CC}">
              <c16:uniqueId val="{00000000-11E4-4C6D-BF58-F29904C5A0E7}"/>
            </c:ext>
          </c:extLst>
        </c:ser>
        <c:ser>
          <c:idx val="1"/>
          <c:order val="1"/>
          <c:tx>
            <c:strRef>
              <c:f>Charts_DLR!$M$13</c:f>
              <c:strCache>
                <c:ptCount val="1"/>
                <c:pt idx="0">
                  <c:v>Scenario 1</c:v>
                </c:pt>
              </c:strCache>
            </c:strRef>
          </c:tx>
          <c:spPr>
            <a:ln w="19050" cap="rnd">
              <a:solidFill>
                <a:schemeClr val="accent2"/>
              </a:solidFill>
              <a:round/>
            </a:ln>
            <a:effectLst/>
          </c:spPr>
          <c:marker>
            <c:symbol val="none"/>
          </c:marker>
          <c:val>
            <c:numRef>
              <c:f>Charts_DLR!$M$14:$M$27</c:f>
              <c:numCache>
                <c:formatCode>_("$"* #,##0_);_("$"* \(#,##0\);_("$"* "-"??_);_(@_)</c:formatCode>
                <c:ptCount val="14"/>
                <c:pt idx="0">
                  <c:v>62613.034328825532</c:v>
                </c:pt>
                <c:pt idx="1">
                  <c:v>132778.06444891082</c:v>
                </c:pt>
                <c:pt idx="2">
                  <c:v>202098.07366815279</c:v>
                </c:pt>
                <c:pt idx="3">
                  <c:v>286822.50076511921</c:v>
                </c:pt>
                <c:pt idx="4">
                  <c:v>324860.92729377712</c:v>
                </c:pt>
                <c:pt idx="5">
                  <c:v>360680.13425218337</c:v>
                </c:pt>
                <c:pt idx="6">
                  <c:v>395102.40494056232</c:v>
                </c:pt>
                <c:pt idx="7">
                  <c:v>428805.44859245291</c:v>
                </c:pt>
                <c:pt idx="8">
                  <c:v>458150.43186680309</c:v>
                </c:pt>
                <c:pt idx="9">
                  <c:v>483488.90319223714</c:v>
                </c:pt>
                <c:pt idx="10">
                  <c:v>505148.15130546072</c:v>
                </c:pt>
                <c:pt idx="11">
                  <c:v>490130.19013540552</c:v>
                </c:pt>
                <c:pt idx="12">
                  <c:v>433424.14790874277</c:v>
                </c:pt>
                <c:pt idx="13">
                  <c:v>297821.20826977893</c:v>
                </c:pt>
              </c:numCache>
            </c:numRef>
          </c:val>
          <c:smooth val="0"/>
          <c:extLst>
            <c:ext xmlns:c16="http://schemas.microsoft.com/office/drawing/2014/chart" uri="{C3380CC4-5D6E-409C-BE32-E72D297353CC}">
              <c16:uniqueId val="{00000001-11E4-4C6D-BF58-F29904C5A0E7}"/>
            </c:ext>
          </c:extLst>
        </c:ser>
        <c:ser>
          <c:idx val="2"/>
          <c:order val="2"/>
          <c:tx>
            <c:strRef>
              <c:f>Charts_DLR!$N$13</c:f>
              <c:strCache>
                <c:ptCount val="1"/>
                <c:pt idx="0">
                  <c:v>Scenario 2</c:v>
                </c:pt>
              </c:strCache>
            </c:strRef>
          </c:tx>
          <c:spPr>
            <a:ln w="19050" cap="rnd">
              <a:solidFill>
                <a:schemeClr val="accent3"/>
              </a:solidFill>
              <a:round/>
            </a:ln>
            <a:effectLst/>
          </c:spPr>
          <c:marker>
            <c:symbol val="none"/>
          </c:marker>
          <c:val>
            <c:numRef>
              <c:f>Charts_DLR!$N$14:$N$27</c:f>
              <c:numCache>
                <c:formatCode>_("$"* #,##0_);_("$"* \(#,##0\);_("$"* "-"??_);_(@_)</c:formatCode>
                <c:ptCount val="14"/>
                <c:pt idx="0">
                  <c:v>62613.034328825532</c:v>
                </c:pt>
                <c:pt idx="1">
                  <c:v>132778.06444891082</c:v>
                </c:pt>
                <c:pt idx="2">
                  <c:v>202098.07366815279</c:v>
                </c:pt>
                <c:pt idx="3">
                  <c:v>286822.50076511921</c:v>
                </c:pt>
                <c:pt idx="4">
                  <c:v>441136.86731997575</c:v>
                </c:pt>
                <c:pt idx="5">
                  <c:v>495602.07827217155</c:v>
                </c:pt>
                <c:pt idx="6">
                  <c:v>542833.65835632407</c:v>
                </c:pt>
                <c:pt idx="7">
                  <c:v>587392.30222077738</c:v>
                </c:pt>
                <c:pt idx="8">
                  <c:v>628141.0785652406</c:v>
                </c:pt>
                <c:pt idx="9">
                  <c:v>663346.49651970575</c:v>
                </c:pt>
                <c:pt idx="10">
                  <c:v>693461.01998231118</c:v>
                </c:pt>
                <c:pt idx="11">
                  <c:v>664107.99127671577</c:v>
                </c:pt>
                <c:pt idx="12">
                  <c:v>572350.84500540746</c:v>
                </c:pt>
                <c:pt idx="13">
                  <c:v>379302.76153430087</c:v>
                </c:pt>
              </c:numCache>
            </c:numRef>
          </c:val>
          <c:smooth val="0"/>
          <c:extLst>
            <c:ext xmlns:c16="http://schemas.microsoft.com/office/drawing/2014/chart" uri="{C3380CC4-5D6E-409C-BE32-E72D297353CC}">
              <c16:uniqueId val="{00000002-11E4-4C6D-BF58-F29904C5A0E7}"/>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Income Margin</a:t>
            </a:r>
          </a:p>
        </c:rich>
      </c:tx>
      <c:overlay val="0"/>
      <c:spPr>
        <a:noFill/>
        <a:ln>
          <a:noFill/>
        </a:ln>
        <a:effectLst/>
      </c:spPr>
    </c:title>
    <c:autoTitleDeleted val="0"/>
    <c:plotArea>
      <c:layout/>
      <c:lineChart>
        <c:grouping val="standard"/>
        <c:varyColors val="0"/>
        <c:ser>
          <c:idx val="0"/>
          <c:order val="0"/>
          <c:tx>
            <c:strRef>
              <c:f>Charts_DLR!$I$38</c:f>
              <c:strCache>
                <c:ptCount val="1"/>
                <c:pt idx="0">
                  <c:v>Base Case</c:v>
                </c:pt>
              </c:strCache>
            </c:strRef>
          </c:tx>
          <c:marker>
            <c:symbol val="none"/>
          </c:marker>
          <c:cat>
            <c:numRef>
              <c:f>Charts_DLR!$E$14:$E$27</c:f>
              <c:numCache>
                <c:formatCode>General</c:formatCode>
                <c:ptCount val="14"/>
                <c:pt idx="0">
                  <c:v>1</c:v>
                </c:pt>
                <c:pt idx="1">
                  <c:v>2</c:v>
                </c:pt>
                <c:pt idx="2">
                  <c:v>3</c:v>
                </c:pt>
                <c:pt idx="3">
                  <c:v>4</c:v>
                </c:pt>
                <c:pt idx="4">
                  <c:v>5</c:v>
                </c:pt>
                <c:pt idx="5">
                  <c:v>6</c:v>
                </c:pt>
                <c:pt idx="6">
                  <c:v>7</c:v>
                </c:pt>
                <c:pt idx="7">
                  <c:v>8</c:v>
                </c:pt>
                <c:pt idx="8">
                  <c:v>9</c:v>
                </c:pt>
                <c:pt idx="9">
                  <c:v>10</c:v>
                </c:pt>
                <c:pt idx="10">
                  <c:v>11</c:v>
                </c:pt>
                <c:pt idx="11">
                  <c:v>12</c:v>
                </c:pt>
                <c:pt idx="12">
                  <c:v>13</c:v>
                </c:pt>
                <c:pt idx="13">
                  <c:v>14</c:v>
                </c:pt>
              </c:numCache>
            </c:numRef>
          </c:cat>
          <c:val>
            <c:numRef>
              <c:f>Charts_DLR!$I$39:$I$52</c:f>
              <c:numCache>
                <c:formatCode>0.00%</c:formatCode>
                <c:ptCount val="14"/>
                <c:pt idx="0">
                  <c:v>0.35000000000000053</c:v>
                </c:pt>
                <c:pt idx="1">
                  <c:v>0.3500000000000007</c:v>
                </c:pt>
                <c:pt idx="2">
                  <c:v>0.34999999999999898</c:v>
                </c:pt>
                <c:pt idx="3">
                  <c:v>0.35000000000000153</c:v>
                </c:pt>
                <c:pt idx="4">
                  <c:v>0.35000000000000003</c:v>
                </c:pt>
                <c:pt idx="5">
                  <c:v>0.3500000000000017</c:v>
                </c:pt>
                <c:pt idx="6">
                  <c:v>0.34999999999999853</c:v>
                </c:pt>
                <c:pt idx="7">
                  <c:v>0.35000000000000037</c:v>
                </c:pt>
                <c:pt idx="8">
                  <c:v>0.3500000000000007</c:v>
                </c:pt>
                <c:pt idx="9">
                  <c:v>0.3500000000000007</c:v>
                </c:pt>
                <c:pt idx="10">
                  <c:v>0.35000000000000003</c:v>
                </c:pt>
                <c:pt idx="11">
                  <c:v>0.34999999999999981</c:v>
                </c:pt>
                <c:pt idx="12">
                  <c:v>0.3500000000000012</c:v>
                </c:pt>
                <c:pt idx="13">
                  <c:v>0.35000000000000009</c:v>
                </c:pt>
              </c:numCache>
            </c:numRef>
          </c:val>
          <c:smooth val="0"/>
          <c:extLst>
            <c:ext xmlns:c16="http://schemas.microsoft.com/office/drawing/2014/chart" uri="{C3380CC4-5D6E-409C-BE32-E72D297353CC}">
              <c16:uniqueId val="{00000000-DCA8-40E2-8F85-8EB649CE7DFD}"/>
            </c:ext>
          </c:extLst>
        </c:ser>
        <c:ser>
          <c:idx val="1"/>
          <c:order val="1"/>
          <c:tx>
            <c:strRef>
              <c:f>Charts_DLR!$J$38</c:f>
              <c:strCache>
                <c:ptCount val="1"/>
                <c:pt idx="0">
                  <c:v>Scenario 1</c:v>
                </c:pt>
              </c:strCache>
            </c:strRef>
          </c:tx>
          <c:marker>
            <c:symbol val="none"/>
          </c:marker>
          <c:val>
            <c:numRef>
              <c:f>Charts_DLR!$J$39:$J$52</c:f>
              <c:numCache>
                <c:formatCode>0.00%</c:formatCode>
                <c:ptCount val="14"/>
                <c:pt idx="0">
                  <c:v>0.35000000000000053</c:v>
                </c:pt>
                <c:pt idx="1">
                  <c:v>0.3500000000000007</c:v>
                </c:pt>
                <c:pt idx="2">
                  <c:v>0.34999999999999898</c:v>
                </c:pt>
                <c:pt idx="3">
                  <c:v>0.31308121480155099</c:v>
                </c:pt>
                <c:pt idx="4">
                  <c:v>0.34192074966496516</c:v>
                </c:pt>
                <c:pt idx="5">
                  <c:v>0.34192074966496611</c:v>
                </c:pt>
                <c:pt idx="6">
                  <c:v>0.34192074966496572</c:v>
                </c:pt>
                <c:pt idx="7">
                  <c:v>0.34192074966496583</c:v>
                </c:pt>
                <c:pt idx="8">
                  <c:v>0.34192074966496488</c:v>
                </c:pt>
                <c:pt idx="9">
                  <c:v>0.34192074966496627</c:v>
                </c:pt>
                <c:pt idx="10">
                  <c:v>0.341920749664965</c:v>
                </c:pt>
                <c:pt idx="11">
                  <c:v>0.34192074966496488</c:v>
                </c:pt>
                <c:pt idx="12">
                  <c:v>0.34192074966496611</c:v>
                </c:pt>
                <c:pt idx="13">
                  <c:v>0.34192074966496555</c:v>
                </c:pt>
              </c:numCache>
            </c:numRef>
          </c:val>
          <c:smooth val="0"/>
          <c:extLst>
            <c:ext xmlns:c16="http://schemas.microsoft.com/office/drawing/2014/chart" uri="{C3380CC4-5D6E-409C-BE32-E72D297353CC}">
              <c16:uniqueId val="{00000001-DCA8-40E2-8F85-8EB649CE7DFD}"/>
            </c:ext>
          </c:extLst>
        </c:ser>
        <c:ser>
          <c:idx val="2"/>
          <c:order val="2"/>
          <c:tx>
            <c:strRef>
              <c:f>Charts_DLR!$K$38</c:f>
              <c:strCache>
                <c:ptCount val="1"/>
                <c:pt idx="0">
                  <c:v>Scenario 2</c:v>
                </c:pt>
              </c:strCache>
            </c:strRef>
          </c:tx>
          <c:spPr>
            <a:ln w="19050"/>
          </c:spPr>
          <c:marker>
            <c:symbol val="none"/>
          </c:marker>
          <c:val>
            <c:numRef>
              <c:f>Charts_DLR!$K$39:$K$52</c:f>
              <c:numCache>
                <c:formatCode>0.00%</c:formatCode>
                <c:ptCount val="14"/>
                <c:pt idx="0">
                  <c:v>0.35000000000000053</c:v>
                </c:pt>
                <c:pt idx="1">
                  <c:v>0.3500000000000007</c:v>
                </c:pt>
                <c:pt idx="2">
                  <c:v>0.34999999999999898</c:v>
                </c:pt>
                <c:pt idx="3">
                  <c:v>0.31308121480155099</c:v>
                </c:pt>
                <c:pt idx="4">
                  <c:v>-0.31632752977463524</c:v>
                </c:pt>
                <c:pt idx="5">
                  <c:v>0.23181702256247547</c:v>
                </c:pt>
                <c:pt idx="6">
                  <c:v>0.23181702256246858</c:v>
                </c:pt>
                <c:pt idx="7">
                  <c:v>0.2318170225624745</c:v>
                </c:pt>
                <c:pt idx="8">
                  <c:v>0.23181702256247128</c:v>
                </c:pt>
                <c:pt idx="9">
                  <c:v>0.2318170225624728</c:v>
                </c:pt>
                <c:pt idx="10">
                  <c:v>0.23181702256247366</c:v>
                </c:pt>
                <c:pt idx="11">
                  <c:v>0.23181702256247111</c:v>
                </c:pt>
                <c:pt idx="12">
                  <c:v>0.23181702256247289</c:v>
                </c:pt>
                <c:pt idx="13">
                  <c:v>0.23181702256247261</c:v>
                </c:pt>
              </c:numCache>
            </c:numRef>
          </c:val>
          <c:smooth val="0"/>
          <c:extLst>
            <c:ext xmlns:c16="http://schemas.microsoft.com/office/drawing/2014/chart" uri="{C3380CC4-5D6E-409C-BE32-E72D297353CC}">
              <c16:uniqueId val="{00000002-DCA8-40E2-8F85-8EB649CE7DFD}"/>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plotArea>
    <c:legend>
      <c:legendPos val="b"/>
      <c:overlay val="0"/>
    </c:legend>
    <c:plotVisOnly val="1"/>
    <c:dispBlanksAs val="zero"/>
    <c:showDLblsOverMax val="0"/>
    <c:extLst/>
  </c:chart>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Income</a:t>
            </a:r>
          </a:p>
        </c:rich>
      </c:tx>
      <c:overlay val="0"/>
      <c:spPr>
        <a:noFill/>
        <a:ln>
          <a:noFill/>
        </a:ln>
        <a:effectLst/>
      </c:spPr>
    </c:title>
    <c:autoTitleDeleted val="0"/>
    <c:plotArea>
      <c:layout/>
      <c:lineChart>
        <c:grouping val="standard"/>
        <c:varyColors val="0"/>
        <c:ser>
          <c:idx val="0"/>
          <c:order val="0"/>
          <c:tx>
            <c:strRef>
              <c:f>Charts_DLR!$F$38</c:f>
              <c:strCache>
                <c:ptCount val="1"/>
                <c:pt idx="0">
                  <c:v>Base Case</c:v>
                </c:pt>
              </c:strCache>
            </c:strRef>
          </c:tx>
          <c:marker>
            <c:symbol val="none"/>
          </c:marker>
          <c:cat>
            <c:numRef>
              <c:f>Charts_DLR!$E$14:$E$27</c:f>
              <c:numCache>
                <c:formatCode>General</c:formatCode>
                <c:ptCount val="14"/>
                <c:pt idx="0">
                  <c:v>1</c:v>
                </c:pt>
                <c:pt idx="1">
                  <c:v>2</c:v>
                </c:pt>
                <c:pt idx="2">
                  <c:v>3</c:v>
                </c:pt>
                <c:pt idx="3">
                  <c:v>4</c:v>
                </c:pt>
                <c:pt idx="4">
                  <c:v>5</c:v>
                </c:pt>
                <c:pt idx="5">
                  <c:v>6</c:v>
                </c:pt>
                <c:pt idx="6">
                  <c:v>7</c:v>
                </c:pt>
                <c:pt idx="7">
                  <c:v>8</c:v>
                </c:pt>
                <c:pt idx="8">
                  <c:v>9</c:v>
                </c:pt>
                <c:pt idx="9">
                  <c:v>10</c:v>
                </c:pt>
                <c:pt idx="10">
                  <c:v>11</c:v>
                </c:pt>
                <c:pt idx="11">
                  <c:v>12</c:v>
                </c:pt>
                <c:pt idx="12">
                  <c:v>13</c:v>
                </c:pt>
                <c:pt idx="13">
                  <c:v>14</c:v>
                </c:pt>
              </c:numCache>
            </c:numRef>
          </c:cat>
          <c:val>
            <c:numRef>
              <c:f>Charts_DLR!$F$39:$F$52</c:f>
              <c:numCache>
                <c:formatCode>_("$"* #,##0_);_("$"* \(#,##0\);_("$"* "-"??_);_(@_)</c:formatCode>
                <c:ptCount val="14"/>
                <c:pt idx="0">
                  <c:v>163723.62458866287</c:v>
                </c:pt>
                <c:pt idx="1">
                  <c:v>155537.44335922983</c:v>
                </c:pt>
                <c:pt idx="2">
                  <c:v>147760.57119126758</c:v>
                </c:pt>
                <c:pt idx="3">
                  <c:v>140372.54263170523</c:v>
                </c:pt>
                <c:pt idx="4">
                  <c:v>133353.91550011939</c:v>
                </c:pt>
                <c:pt idx="5">
                  <c:v>126686.219725114</c:v>
                </c:pt>
                <c:pt idx="6">
                  <c:v>120351.90873885719</c:v>
                </c:pt>
                <c:pt idx="7">
                  <c:v>114334.31330191495</c:v>
                </c:pt>
                <c:pt idx="8">
                  <c:v>108617.59763681929</c:v>
                </c:pt>
                <c:pt idx="9">
                  <c:v>103186.71775497834</c:v>
                </c:pt>
                <c:pt idx="10">
                  <c:v>98027.38186722924</c:v>
                </c:pt>
                <c:pt idx="11">
                  <c:v>93126.012773867697</c:v>
                </c:pt>
                <c:pt idx="12">
                  <c:v>88469.712135174661</c:v>
                </c:pt>
                <c:pt idx="13">
                  <c:v>84046.22652841566</c:v>
                </c:pt>
              </c:numCache>
            </c:numRef>
          </c:val>
          <c:smooth val="0"/>
          <c:extLst>
            <c:ext xmlns:c16="http://schemas.microsoft.com/office/drawing/2014/chart" uri="{C3380CC4-5D6E-409C-BE32-E72D297353CC}">
              <c16:uniqueId val="{00000000-30F8-4CA8-83A2-A89BCE35400B}"/>
            </c:ext>
          </c:extLst>
        </c:ser>
        <c:ser>
          <c:idx val="1"/>
          <c:order val="1"/>
          <c:tx>
            <c:strRef>
              <c:f>Charts_DLR!$G$38</c:f>
              <c:strCache>
                <c:ptCount val="1"/>
                <c:pt idx="0">
                  <c:v>Scenario 1</c:v>
                </c:pt>
              </c:strCache>
            </c:strRef>
          </c:tx>
          <c:marker>
            <c:symbol val="none"/>
          </c:marker>
          <c:val>
            <c:numRef>
              <c:f>Charts_DLR!$G$39:$G$52</c:f>
              <c:numCache>
                <c:formatCode>_("$"* #,##0_);_("$"* \(#,##0\);_("$"* "-"??_);_(@_)</c:formatCode>
                <c:ptCount val="14"/>
                <c:pt idx="0">
                  <c:v>163723.62458866287</c:v>
                </c:pt>
                <c:pt idx="1">
                  <c:v>155537.44335922983</c:v>
                </c:pt>
                <c:pt idx="2">
                  <c:v>147760.57119126758</c:v>
                </c:pt>
                <c:pt idx="3">
                  <c:v>125565.73191976169</c:v>
                </c:pt>
                <c:pt idx="4">
                  <c:v>130275.63073874067</c:v>
                </c:pt>
                <c:pt idx="5">
                  <c:v>123761.84920180397</c:v>
                </c:pt>
                <c:pt idx="6">
                  <c:v>117573.75674171362</c:v>
                </c:pt>
                <c:pt idx="7">
                  <c:v>111695.06890462799</c:v>
                </c:pt>
                <c:pt idx="8">
                  <c:v>106110.31545939628</c:v>
                </c:pt>
                <c:pt idx="9">
                  <c:v>100804.79968642688</c:v>
                </c:pt>
                <c:pt idx="10">
                  <c:v>95764.55970210518</c:v>
                </c:pt>
                <c:pt idx="11">
                  <c:v>90976.331716999877</c:v>
                </c:pt>
                <c:pt idx="12">
                  <c:v>86427.515131150198</c:v>
                </c:pt>
                <c:pt idx="13">
                  <c:v>82106.139374592545</c:v>
                </c:pt>
              </c:numCache>
            </c:numRef>
          </c:val>
          <c:smooth val="0"/>
          <c:extLst>
            <c:ext xmlns:c16="http://schemas.microsoft.com/office/drawing/2014/chart" uri="{C3380CC4-5D6E-409C-BE32-E72D297353CC}">
              <c16:uniqueId val="{00000001-30F8-4CA8-83A2-A89BCE35400B}"/>
            </c:ext>
          </c:extLst>
        </c:ser>
        <c:ser>
          <c:idx val="2"/>
          <c:order val="2"/>
          <c:tx>
            <c:strRef>
              <c:f>Charts_DLR!$H$38</c:f>
              <c:strCache>
                <c:ptCount val="1"/>
                <c:pt idx="0">
                  <c:v>Scenario 2</c:v>
                </c:pt>
              </c:strCache>
            </c:strRef>
          </c:tx>
          <c:spPr>
            <a:ln w="19050"/>
          </c:spPr>
          <c:marker>
            <c:symbol val="none"/>
          </c:marker>
          <c:val>
            <c:numRef>
              <c:f>Charts_DLR!$H$39:$H$52</c:f>
              <c:numCache>
                <c:formatCode>_("$"* #,##0_);_("$"* \(#,##0\);_("$"* "-"??_);_(@_)</c:formatCode>
                <c:ptCount val="14"/>
                <c:pt idx="0">
                  <c:v>163723.62458866287</c:v>
                </c:pt>
                <c:pt idx="1">
                  <c:v>155537.44335922983</c:v>
                </c:pt>
                <c:pt idx="2">
                  <c:v>147760.57119126758</c:v>
                </c:pt>
                <c:pt idx="3">
                  <c:v>125565.73191976169</c:v>
                </c:pt>
                <c:pt idx="4">
                  <c:v>-120524.32764550915</c:v>
                </c:pt>
                <c:pt idx="5">
                  <c:v>83908.635018203815</c:v>
                </c:pt>
                <c:pt idx="6">
                  <c:v>79713.203267291246</c:v>
                </c:pt>
                <c:pt idx="7">
                  <c:v>75727.54310392862</c:v>
                </c:pt>
                <c:pt idx="8">
                  <c:v>71941.165948731184</c:v>
                </c:pt>
                <c:pt idx="9">
                  <c:v>68344.107651295082</c:v>
                </c:pt>
                <c:pt idx="10">
                  <c:v>64926.90226873057</c:v>
                </c:pt>
                <c:pt idx="11">
                  <c:v>61680.557155293354</c:v>
                </c:pt>
                <c:pt idx="12">
                  <c:v>58596.529297529138</c:v>
                </c:pt>
                <c:pt idx="13">
                  <c:v>55666.702832652605</c:v>
                </c:pt>
              </c:numCache>
            </c:numRef>
          </c:val>
          <c:smooth val="0"/>
          <c:extLst>
            <c:ext xmlns:c16="http://schemas.microsoft.com/office/drawing/2014/chart" uri="{C3380CC4-5D6E-409C-BE32-E72D297353CC}">
              <c16:uniqueId val="{00000002-30F8-4CA8-83A2-A89BCE35400B}"/>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plotArea>
    <c:legend>
      <c:legendPos val="b"/>
      <c:overlay val="0"/>
    </c:legend>
    <c:plotVisOnly val="1"/>
    <c:dispBlanksAs val="zero"/>
    <c:showDLblsOverMax val="0"/>
    <c:extLst/>
  </c:chart>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Total GAAP Reserve</a:t>
            </a:r>
          </a:p>
        </c:rich>
      </c:tx>
      <c:overlay val="0"/>
      <c:spPr>
        <a:noFill/>
        <a:ln>
          <a:noFill/>
        </a:ln>
        <a:effectLst/>
      </c:spPr>
    </c:title>
    <c:autoTitleDeleted val="0"/>
    <c:plotArea>
      <c:layout/>
      <c:lineChart>
        <c:grouping val="standard"/>
        <c:varyColors val="0"/>
        <c:ser>
          <c:idx val="0"/>
          <c:order val="0"/>
          <c:tx>
            <c:strRef>
              <c:f>Charts_RI!$F$13</c:f>
              <c:strCache>
                <c:ptCount val="1"/>
                <c:pt idx="0">
                  <c:v>Scenario 2</c:v>
                </c:pt>
              </c:strCache>
            </c:strRef>
          </c:tx>
          <c:spPr>
            <a:ln w="19050" cap="rnd">
              <a:solidFill>
                <a:schemeClr val="accent3"/>
              </a:solidFill>
              <a:round/>
            </a:ln>
            <a:effectLst/>
          </c:spPr>
          <c:marker>
            <c:symbol val="none"/>
          </c:marker>
          <c:cat>
            <c:numRef>
              <c:extLst>
                <c:ext xmlns:c15="http://schemas.microsoft.com/office/drawing/2012/chart" uri="{02D57815-91ED-43cb-92C2-25804820EDAC}">
                  <c15:fullRef>
                    <c15:sqref>Charts_RI!$E$14:$E$27</c15:sqref>
                  </c15:fullRef>
                </c:ext>
              </c:extLst>
              <c:f>Charts_RI!$E$18:$E$27</c:f>
              <c:numCache>
                <c:formatCode>General</c:formatCode>
                <c:ptCount val="10"/>
                <c:pt idx="0">
                  <c:v>5</c:v>
                </c:pt>
                <c:pt idx="1">
                  <c:v>6</c:v>
                </c:pt>
                <c:pt idx="2">
                  <c:v>7</c:v>
                </c:pt>
                <c:pt idx="3">
                  <c:v>8</c:v>
                </c:pt>
                <c:pt idx="4">
                  <c:v>9</c:v>
                </c:pt>
                <c:pt idx="5">
                  <c:v>10</c:v>
                </c:pt>
                <c:pt idx="6">
                  <c:v>11</c:v>
                </c:pt>
                <c:pt idx="7">
                  <c:v>12</c:v>
                </c:pt>
                <c:pt idx="8">
                  <c:v>13</c:v>
                </c:pt>
                <c:pt idx="9">
                  <c:v>14</c:v>
                </c:pt>
              </c:numCache>
            </c:numRef>
          </c:cat>
          <c:val>
            <c:numRef>
              <c:extLst>
                <c:ext xmlns:c15="http://schemas.microsoft.com/office/drawing/2012/chart" uri="{02D57815-91ED-43cb-92C2-25804820EDAC}">
                  <c15:fullRef>
                    <c15:sqref>Charts_RI!$F$14:$F$27</c15:sqref>
                  </c15:fullRef>
                </c:ext>
              </c:extLst>
              <c:f>Charts_RI!$F$18:$F$27</c:f>
              <c:numCache>
                <c:formatCode>_("$"* #,##0_);_("$"* \(#,##0\);_("$"* "-"??_);_(@_)</c:formatCode>
                <c:ptCount val="10"/>
                <c:pt idx="0">
                  <c:v>1197590.1524546451</c:v>
                </c:pt>
                <c:pt idx="1">
                  <c:v>1269275.8200896422</c:v>
                </c:pt>
                <c:pt idx="2">
                  <c:v>1295801.6245394123</c:v>
                </c:pt>
                <c:pt idx="3">
                  <c:v>1284276.875672044</c:v>
                </c:pt>
                <c:pt idx="4">
                  <c:v>1235911.1779753577</c:v>
                </c:pt>
                <c:pt idx="5">
                  <c:v>1151127.8621687593</c:v>
                </c:pt>
                <c:pt idx="6">
                  <c:v>1032358.0819583179</c:v>
                </c:pt>
                <c:pt idx="7">
                  <c:v>877568.3157504769</c:v>
                </c:pt>
                <c:pt idx="8">
                  <c:v>674221.91413207306</c:v>
                </c:pt>
                <c:pt idx="9">
                  <c:v>398460.14059858298</c:v>
                </c:pt>
              </c:numCache>
            </c:numRef>
          </c:val>
          <c:smooth val="0"/>
          <c:extLst>
            <c:ext xmlns:c16="http://schemas.microsoft.com/office/drawing/2014/chart" uri="{C3380CC4-5D6E-409C-BE32-E72D297353CC}">
              <c16:uniqueId val="{00000003-BB09-4DCB-9E43-D26DE99FBE14}"/>
            </c:ext>
          </c:extLst>
        </c:ser>
        <c:ser>
          <c:idx val="1"/>
          <c:order val="1"/>
          <c:tx>
            <c:strRef>
              <c:f>Charts_RI!$G$13</c:f>
              <c:strCache>
                <c:ptCount val="1"/>
                <c:pt idx="0">
                  <c:v>Scenario 3</c:v>
                </c:pt>
              </c:strCache>
            </c:strRef>
          </c:tx>
          <c:spPr>
            <a:ln w="19050">
              <a:solidFill>
                <a:schemeClr val="bg2"/>
              </a:solidFill>
            </a:ln>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Charts_RI!$G$14:$G$27</c15:sqref>
                  </c15:fullRef>
                </c:ext>
              </c:extLst>
              <c:f>Charts_RI!$G$18:$G$27</c:f>
              <c:numCache>
                <c:formatCode>_("$"* #,##0_);_("$"* \(#,##0\);_("$"* "-"??_);_(@_)</c:formatCode>
                <c:ptCount val="10"/>
                <c:pt idx="0">
                  <c:v>1197590.1524546451</c:v>
                </c:pt>
                <c:pt idx="1">
                  <c:v>1110810.3857998571</c:v>
                </c:pt>
                <c:pt idx="2">
                  <c:v>1136164.5556833448</c:v>
                </c:pt>
                <c:pt idx="3">
                  <c:v>1146399.1455604676</c:v>
                </c:pt>
                <c:pt idx="4">
                  <c:v>1119187.0316566066</c:v>
                </c:pt>
                <c:pt idx="5">
                  <c:v>1054998.7098582457</c:v>
                </c:pt>
                <c:pt idx="6">
                  <c:v>956310.73148986022</c:v>
                </c:pt>
                <c:pt idx="7">
                  <c:v>821133.31407990109</c:v>
                </c:pt>
                <c:pt idx="8">
                  <c:v>636971.99316409102</c:v>
                </c:pt>
                <c:pt idx="9">
                  <c:v>380008.76286973245</c:v>
                </c:pt>
              </c:numCache>
            </c:numRef>
          </c:val>
          <c:smooth val="0"/>
          <c:extLst>
            <c:ext xmlns:c16="http://schemas.microsoft.com/office/drawing/2014/chart" uri="{C3380CC4-5D6E-409C-BE32-E72D297353CC}">
              <c16:uniqueId val="{00000004-BB09-4DCB-9E43-D26DE99FBE14}"/>
            </c:ext>
          </c:extLst>
        </c:ser>
        <c:ser>
          <c:idx val="2"/>
          <c:order val="2"/>
          <c:tx>
            <c:strRef>
              <c:f>Charts_RI!$H$13</c:f>
              <c:strCache>
                <c:ptCount val="1"/>
                <c:pt idx="0">
                  <c:v>Scenario 4</c:v>
                </c:pt>
              </c:strCache>
            </c:strRef>
          </c:tx>
          <c:spPr>
            <a:ln w="19050">
              <a:solidFill>
                <a:schemeClr val="accent6"/>
              </a:solidFill>
            </a:ln>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Charts_RI!$H$14:$H$27</c15:sqref>
                  </c15:fullRef>
                </c:ext>
              </c:extLst>
              <c:f>Charts_RI!$H$18:$H$27</c:f>
              <c:numCache>
                <c:formatCode>_("$"* #,##0_);_("$"* \(#,##0\);_("$"* "-"??_);_(@_)</c:formatCode>
                <c:ptCount val="10"/>
                <c:pt idx="0">
                  <c:v>1197590.1524546451</c:v>
                </c:pt>
                <c:pt idx="1">
                  <c:v>1110810.3857998571</c:v>
                </c:pt>
                <c:pt idx="2">
                  <c:v>1181334.0258091306</c:v>
                </c:pt>
                <c:pt idx="3">
                  <c:v>1185411.788776193</c:v>
                </c:pt>
                <c:pt idx="4">
                  <c:v>1152214.2469386435</c:v>
                </c:pt>
                <c:pt idx="5">
                  <c:v>1082198.5507512265</c:v>
                </c:pt>
                <c:pt idx="6">
                  <c:v>977828.40623636439</c:v>
                </c:pt>
                <c:pt idx="7">
                  <c:v>837101.65489368851</c:v>
                </c:pt>
                <c:pt idx="8">
                  <c:v>647511.89598495886</c:v>
                </c:pt>
                <c:pt idx="9">
                  <c:v>385229.59886399866</c:v>
                </c:pt>
              </c:numCache>
            </c:numRef>
          </c:val>
          <c:smooth val="0"/>
          <c:extLst>
            <c:ext xmlns:c16="http://schemas.microsoft.com/office/drawing/2014/chart" uri="{C3380CC4-5D6E-409C-BE32-E72D297353CC}">
              <c16:uniqueId val="{00000005-BB09-4DCB-9E43-D26DE99FBE14}"/>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plotArea>
    <c:legend>
      <c:legendPos val="b"/>
      <c:overlay val="0"/>
    </c:legend>
    <c:plotVisOnly val="1"/>
    <c:dispBlanksAs val="zero"/>
    <c:showDLblsOverMax val="0"/>
    <c:extLst/>
  </c:chart>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Benefit Reserve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Charts_RI!$I$13</c:f>
              <c:strCache>
                <c:ptCount val="1"/>
                <c:pt idx="0">
                  <c:v>Scenario 2</c:v>
                </c:pt>
              </c:strCache>
            </c:strRef>
          </c:tx>
          <c:spPr>
            <a:ln w="19050" cap="rnd">
              <a:solidFill>
                <a:schemeClr val="accent3"/>
              </a:solidFill>
              <a:round/>
            </a:ln>
            <a:effectLst/>
          </c:spPr>
          <c:marker>
            <c:symbol val="none"/>
          </c:marker>
          <c:cat>
            <c:numRef>
              <c:extLst>
                <c:ext xmlns:c15="http://schemas.microsoft.com/office/drawing/2012/chart" uri="{02D57815-91ED-43cb-92C2-25804820EDAC}">
                  <c15:fullRef>
                    <c15:sqref>Charts_RI!$E$14:$E$27</c15:sqref>
                  </c15:fullRef>
                </c:ext>
              </c:extLst>
              <c:f>Charts_RI!$E$18:$E$27</c:f>
              <c:numCache>
                <c:formatCode>General</c:formatCode>
                <c:ptCount val="10"/>
                <c:pt idx="0">
                  <c:v>5</c:v>
                </c:pt>
                <c:pt idx="1">
                  <c:v>6</c:v>
                </c:pt>
                <c:pt idx="2">
                  <c:v>7</c:v>
                </c:pt>
                <c:pt idx="3">
                  <c:v>8</c:v>
                </c:pt>
                <c:pt idx="4">
                  <c:v>9</c:v>
                </c:pt>
                <c:pt idx="5">
                  <c:v>10</c:v>
                </c:pt>
                <c:pt idx="6">
                  <c:v>11</c:v>
                </c:pt>
                <c:pt idx="7">
                  <c:v>12</c:v>
                </c:pt>
                <c:pt idx="8">
                  <c:v>13</c:v>
                </c:pt>
                <c:pt idx="9">
                  <c:v>14</c:v>
                </c:pt>
              </c:numCache>
            </c:numRef>
          </c:cat>
          <c:val>
            <c:numRef>
              <c:extLst>
                <c:ext xmlns:c15="http://schemas.microsoft.com/office/drawing/2012/chart" uri="{02D57815-91ED-43cb-92C2-25804820EDAC}">
                  <c15:fullRef>
                    <c15:sqref>Charts_RI!$I$14:$I$27</c15:sqref>
                  </c15:fullRef>
                </c:ext>
              </c:extLst>
              <c:f>Charts_RI!$I$18:$I$27</c:f>
              <c:numCache>
                <c:formatCode>_("$"* #,##0_);_("$"* \(#,##0\);_("$"* "-"??_);_(@_)</c:formatCode>
                <c:ptCount val="10"/>
                <c:pt idx="0">
                  <c:v>756453.28513466916</c:v>
                </c:pt>
                <c:pt idx="1">
                  <c:v>773673.74181747087</c:v>
                </c:pt>
                <c:pt idx="2">
                  <c:v>752967.96618308756</c:v>
                </c:pt>
                <c:pt idx="3">
                  <c:v>696884.57345126662</c:v>
                </c:pt>
                <c:pt idx="4">
                  <c:v>607770.09941011644</c:v>
                </c:pt>
                <c:pt idx="5">
                  <c:v>487781.36564905313</c:v>
                </c:pt>
                <c:pt idx="6">
                  <c:v>338897.06197600684</c:v>
                </c:pt>
                <c:pt idx="7">
                  <c:v>213460.32447376108</c:v>
                </c:pt>
                <c:pt idx="8">
                  <c:v>101871.06912666553</c:v>
                </c:pt>
                <c:pt idx="9">
                  <c:v>19157.37906428217</c:v>
                </c:pt>
              </c:numCache>
            </c:numRef>
          </c:val>
          <c:smooth val="0"/>
          <c:extLst>
            <c:ext xmlns:c16="http://schemas.microsoft.com/office/drawing/2014/chart" uri="{C3380CC4-5D6E-409C-BE32-E72D297353CC}">
              <c16:uniqueId val="{00000000-DB66-47CB-B2B4-BB81A22E0CC5}"/>
            </c:ext>
          </c:extLst>
        </c:ser>
        <c:ser>
          <c:idx val="1"/>
          <c:order val="1"/>
          <c:tx>
            <c:strRef>
              <c:f>Charts_RI!$J$13</c:f>
              <c:strCache>
                <c:ptCount val="1"/>
                <c:pt idx="0">
                  <c:v>Scenario 3</c:v>
                </c:pt>
              </c:strCache>
            </c:strRef>
          </c:tx>
          <c:spPr>
            <a:ln w="19050" cap="rnd">
              <a:solidFill>
                <a:schemeClr val="bg2"/>
              </a:solidFill>
              <a:round/>
            </a:ln>
            <a:effectLst/>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Charts_RI!$J$14:$J$27</c15:sqref>
                  </c15:fullRef>
                </c:ext>
              </c:extLst>
              <c:f>Charts_RI!$J$18:$J$27</c:f>
              <c:numCache>
                <c:formatCode>_("$"* #,##0_);_("$"* \(#,##0\);_("$"* "-"??_);_(@_)</c:formatCode>
                <c:ptCount val="10"/>
                <c:pt idx="0">
                  <c:v>756453.28513466916</c:v>
                </c:pt>
                <c:pt idx="1">
                  <c:v>615208.30752768577</c:v>
                </c:pt>
                <c:pt idx="2">
                  <c:v>593330.89732702007</c:v>
                </c:pt>
                <c:pt idx="3">
                  <c:v>559006.84333969024</c:v>
                </c:pt>
                <c:pt idx="4">
                  <c:v>491045.95309136529</c:v>
                </c:pt>
                <c:pt idx="5">
                  <c:v>391652.21333853947</c:v>
                </c:pt>
                <c:pt idx="6">
                  <c:v>262849.71150754916</c:v>
                </c:pt>
                <c:pt idx="7">
                  <c:v>157025.3228031852</c:v>
                </c:pt>
                <c:pt idx="8">
                  <c:v>64621.148158683558</c:v>
                </c:pt>
                <c:pt idx="9">
                  <c:v>706.00133543167613</c:v>
                </c:pt>
              </c:numCache>
            </c:numRef>
          </c:val>
          <c:smooth val="0"/>
          <c:extLst>
            <c:ext xmlns:c16="http://schemas.microsoft.com/office/drawing/2014/chart" uri="{C3380CC4-5D6E-409C-BE32-E72D297353CC}">
              <c16:uniqueId val="{00000001-DB66-47CB-B2B4-BB81A22E0CC5}"/>
            </c:ext>
          </c:extLst>
        </c:ser>
        <c:ser>
          <c:idx val="2"/>
          <c:order val="2"/>
          <c:tx>
            <c:strRef>
              <c:f>Charts_RI!$K$13</c:f>
              <c:strCache>
                <c:ptCount val="1"/>
                <c:pt idx="0">
                  <c:v>Scenario 4</c:v>
                </c:pt>
              </c:strCache>
            </c:strRef>
          </c:tx>
          <c:spPr>
            <a:ln w="19050" cap="rnd">
              <a:solidFill>
                <a:schemeClr val="accent6"/>
              </a:solidFill>
              <a:round/>
            </a:ln>
            <a:effectLst/>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Charts_RI!$K$14:$K$27</c15:sqref>
                  </c15:fullRef>
                </c:ext>
              </c:extLst>
              <c:f>Charts_RI!$K$18:$K$27</c:f>
              <c:numCache>
                <c:formatCode>_("$"* #,##0_);_("$"* \(#,##0\);_("$"* "-"??_);_(@_)</c:formatCode>
                <c:ptCount val="10"/>
                <c:pt idx="0">
                  <c:v>756453.28513466916</c:v>
                </c:pt>
                <c:pt idx="1">
                  <c:v>615208.30752768577</c:v>
                </c:pt>
                <c:pt idx="2">
                  <c:v>638500.36745280586</c:v>
                </c:pt>
                <c:pt idx="3">
                  <c:v>598019.48655541567</c:v>
                </c:pt>
                <c:pt idx="4">
                  <c:v>524073.16837340221</c:v>
                </c:pt>
                <c:pt idx="5">
                  <c:v>418852.05423152016</c:v>
                </c:pt>
                <c:pt idx="6">
                  <c:v>284367.38625405333</c:v>
                </c:pt>
                <c:pt idx="7">
                  <c:v>172993.66361697263</c:v>
                </c:pt>
                <c:pt idx="8">
                  <c:v>75161.050979551394</c:v>
                </c:pt>
                <c:pt idx="9">
                  <c:v>5926.8373296978243</c:v>
                </c:pt>
              </c:numCache>
            </c:numRef>
          </c:val>
          <c:smooth val="0"/>
          <c:extLst>
            <c:ext xmlns:c16="http://schemas.microsoft.com/office/drawing/2014/chart" uri="{C3380CC4-5D6E-409C-BE32-E72D297353CC}">
              <c16:uniqueId val="{00000002-DB66-47CB-B2B4-BB81A22E0CC5}"/>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Claim Reserve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Charts_RI!$L$13</c:f>
              <c:strCache>
                <c:ptCount val="1"/>
                <c:pt idx="0">
                  <c:v>Scenario 2</c:v>
                </c:pt>
              </c:strCache>
            </c:strRef>
          </c:tx>
          <c:spPr>
            <a:ln w="19050" cap="rnd">
              <a:solidFill>
                <a:schemeClr val="accent3"/>
              </a:solidFill>
              <a:round/>
            </a:ln>
            <a:effectLst/>
          </c:spPr>
          <c:marker>
            <c:symbol val="none"/>
          </c:marker>
          <c:cat>
            <c:numRef>
              <c:extLst>
                <c:ext xmlns:c15="http://schemas.microsoft.com/office/drawing/2012/chart" uri="{02D57815-91ED-43cb-92C2-25804820EDAC}">
                  <c15:fullRef>
                    <c15:sqref>Charts_RI!$E$14:$E$27</c15:sqref>
                  </c15:fullRef>
                </c:ext>
              </c:extLst>
              <c:f>Charts_RI!$E$18:$E$27</c:f>
              <c:numCache>
                <c:formatCode>General</c:formatCode>
                <c:ptCount val="10"/>
                <c:pt idx="0">
                  <c:v>5</c:v>
                </c:pt>
                <c:pt idx="1">
                  <c:v>6</c:v>
                </c:pt>
                <c:pt idx="2">
                  <c:v>7</c:v>
                </c:pt>
                <c:pt idx="3">
                  <c:v>8</c:v>
                </c:pt>
                <c:pt idx="4">
                  <c:v>9</c:v>
                </c:pt>
                <c:pt idx="5">
                  <c:v>10</c:v>
                </c:pt>
                <c:pt idx="6">
                  <c:v>11</c:v>
                </c:pt>
                <c:pt idx="7">
                  <c:v>12</c:v>
                </c:pt>
                <c:pt idx="8">
                  <c:v>13</c:v>
                </c:pt>
                <c:pt idx="9">
                  <c:v>14</c:v>
                </c:pt>
              </c:numCache>
            </c:numRef>
          </c:cat>
          <c:val>
            <c:numRef>
              <c:extLst>
                <c:ext xmlns:c15="http://schemas.microsoft.com/office/drawing/2012/chart" uri="{02D57815-91ED-43cb-92C2-25804820EDAC}">
                  <c15:fullRef>
                    <c15:sqref>Charts_RI!$L$14:$L$27</c15:sqref>
                  </c15:fullRef>
                </c:ext>
              </c:extLst>
              <c:f>Charts_RI!$L$18:$L$27</c:f>
              <c:numCache>
                <c:formatCode>_("$"* #,##0_);_("$"* \(#,##0\);_("$"* "-"??_);_(@_)</c:formatCode>
                <c:ptCount val="10"/>
                <c:pt idx="0">
                  <c:v>441136.86731997575</c:v>
                </c:pt>
                <c:pt idx="1">
                  <c:v>495602.07827217155</c:v>
                </c:pt>
                <c:pt idx="2">
                  <c:v>542833.65835632407</c:v>
                </c:pt>
                <c:pt idx="3">
                  <c:v>587392.30222077738</c:v>
                </c:pt>
                <c:pt idx="4">
                  <c:v>628141.0785652406</c:v>
                </c:pt>
                <c:pt idx="5">
                  <c:v>663346.49651970575</c:v>
                </c:pt>
                <c:pt idx="6">
                  <c:v>693461.01998231118</c:v>
                </c:pt>
                <c:pt idx="7">
                  <c:v>664107.99127671577</c:v>
                </c:pt>
                <c:pt idx="8">
                  <c:v>572350.84500540746</c:v>
                </c:pt>
                <c:pt idx="9">
                  <c:v>379302.76153430087</c:v>
                </c:pt>
              </c:numCache>
            </c:numRef>
          </c:val>
          <c:smooth val="0"/>
          <c:extLst>
            <c:ext xmlns:c16="http://schemas.microsoft.com/office/drawing/2014/chart" uri="{C3380CC4-5D6E-409C-BE32-E72D297353CC}">
              <c16:uniqueId val="{00000000-38BF-4F6B-9D08-B1CD7D555CAB}"/>
            </c:ext>
          </c:extLst>
        </c:ser>
        <c:ser>
          <c:idx val="1"/>
          <c:order val="1"/>
          <c:tx>
            <c:strRef>
              <c:f>Charts_RI!$M$13</c:f>
              <c:strCache>
                <c:ptCount val="1"/>
                <c:pt idx="0">
                  <c:v>Scenario 3</c:v>
                </c:pt>
              </c:strCache>
            </c:strRef>
          </c:tx>
          <c:spPr>
            <a:ln w="19050" cap="rnd">
              <a:solidFill>
                <a:schemeClr val="bg2"/>
              </a:solidFill>
              <a:round/>
            </a:ln>
            <a:effectLst/>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Charts_RI!$M$14:$M$27</c15:sqref>
                  </c15:fullRef>
                </c:ext>
              </c:extLst>
              <c:f>Charts_RI!$M$18:$M$27</c:f>
              <c:numCache>
                <c:formatCode>_("$"* #,##0_);_("$"* \(#,##0\);_("$"* "-"??_);_(@_)</c:formatCode>
                <c:ptCount val="10"/>
                <c:pt idx="0">
                  <c:v>441136.86731997575</c:v>
                </c:pt>
                <c:pt idx="1">
                  <c:v>495602.07827217155</c:v>
                </c:pt>
                <c:pt idx="2">
                  <c:v>542833.65835632407</c:v>
                </c:pt>
                <c:pt idx="3">
                  <c:v>587392.30222077738</c:v>
                </c:pt>
                <c:pt idx="4">
                  <c:v>628141.0785652406</c:v>
                </c:pt>
                <c:pt idx="5">
                  <c:v>663346.49651970575</c:v>
                </c:pt>
                <c:pt idx="6">
                  <c:v>693461.01998231118</c:v>
                </c:pt>
                <c:pt idx="7">
                  <c:v>664107.99127671577</c:v>
                </c:pt>
                <c:pt idx="8">
                  <c:v>572350.84500540746</c:v>
                </c:pt>
                <c:pt idx="9">
                  <c:v>379302.76153430087</c:v>
                </c:pt>
              </c:numCache>
            </c:numRef>
          </c:val>
          <c:smooth val="0"/>
          <c:extLst>
            <c:ext xmlns:c16="http://schemas.microsoft.com/office/drawing/2014/chart" uri="{C3380CC4-5D6E-409C-BE32-E72D297353CC}">
              <c16:uniqueId val="{00000001-38BF-4F6B-9D08-B1CD7D555CAB}"/>
            </c:ext>
          </c:extLst>
        </c:ser>
        <c:ser>
          <c:idx val="2"/>
          <c:order val="2"/>
          <c:tx>
            <c:strRef>
              <c:f>Charts_RI!$N$13</c:f>
              <c:strCache>
                <c:ptCount val="1"/>
                <c:pt idx="0">
                  <c:v>Scenario 4</c:v>
                </c:pt>
              </c:strCache>
            </c:strRef>
          </c:tx>
          <c:spPr>
            <a:ln w="19050" cap="rnd">
              <a:solidFill>
                <a:schemeClr val="accent6"/>
              </a:solidFill>
              <a:round/>
            </a:ln>
            <a:effectLst/>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Charts_RI!$N$14:$N$27</c15:sqref>
                  </c15:fullRef>
                </c:ext>
              </c:extLst>
              <c:f>Charts_RI!$N$18:$N$27</c:f>
              <c:numCache>
                <c:formatCode>_("$"* #,##0_);_("$"* \(#,##0\);_("$"* "-"??_);_(@_)</c:formatCode>
                <c:ptCount val="10"/>
                <c:pt idx="0">
                  <c:v>441136.86731997575</c:v>
                </c:pt>
                <c:pt idx="1">
                  <c:v>495602.07827217155</c:v>
                </c:pt>
                <c:pt idx="2">
                  <c:v>542833.65835632407</c:v>
                </c:pt>
                <c:pt idx="3">
                  <c:v>587392.30222077738</c:v>
                </c:pt>
                <c:pt idx="4">
                  <c:v>628141.0785652406</c:v>
                </c:pt>
                <c:pt idx="5">
                  <c:v>663346.49651970575</c:v>
                </c:pt>
                <c:pt idx="6">
                  <c:v>693461.01998231118</c:v>
                </c:pt>
                <c:pt idx="7">
                  <c:v>664107.99127671577</c:v>
                </c:pt>
                <c:pt idx="8">
                  <c:v>572350.84500540746</c:v>
                </c:pt>
                <c:pt idx="9">
                  <c:v>379302.76153430087</c:v>
                </c:pt>
              </c:numCache>
            </c:numRef>
          </c:val>
          <c:smooth val="0"/>
          <c:extLst>
            <c:ext xmlns:c16="http://schemas.microsoft.com/office/drawing/2014/chart" uri="{C3380CC4-5D6E-409C-BE32-E72D297353CC}">
              <c16:uniqueId val="{00000002-38BF-4F6B-9D08-B1CD7D555CAB}"/>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zero"/>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Income Margin</a:t>
            </a:r>
          </a:p>
        </c:rich>
      </c:tx>
      <c:overlay val="0"/>
      <c:spPr>
        <a:noFill/>
        <a:ln>
          <a:noFill/>
        </a:ln>
        <a:effectLst/>
      </c:spPr>
    </c:title>
    <c:autoTitleDeleted val="0"/>
    <c:plotArea>
      <c:layout/>
      <c:lineChart>
        <c:grouping val="standard"/>
        <c:varyColors val="0"/>
        <c:ser>
          <c:idx val="0"/>
          <c:order val="0"/>
          <c:tx>
            <c:strRef>
              <c:f>Charts_RI!$I$38</c:f>
              <c:strCache>
                <c:ptCount val="1"/>
                <c:pt idx="0">
                  <c:v>Scenario 2</c:v>
                </c:pt>
              </c:strCache>
            </c:strRef>
          </c:tx>
          <c:spPr>
            <a:ln w="19050">
              <a:solidFill>
                <a:schemeClr val="accent3"/>
              </a:solidFill>
            </a:ln>
          </c:spPr>
          <c:marker>
            <c:symbol val="none"/>
          </c:marker>
          <c:cat>
            <c:numRef>
              <c:extLst>
                <c:ext xmlns:c15="http://schemas.microsoft.com/office/drawing/2012/chart" uri="{02D57815-91ED-43cb-92C2-25804820EDAC}">
                  <c15:fullRef>
                    <c15:sqref>Charts_RI!$E$14:$E$27</c15:sqref>
                  </c15:fullRef>
                </c:ext>
              </c:extLst>
              <c:f>Charts_RI!$E$18:$E$27</c:f>
              <c:numCache>
                <c:formatCode>General</c:formatCode>
                <c:ptCount val="10"/>
                <c:pt idx="0">
                  <c:v>5</c:v>
                </c:pt>
                <c:pt idx="1">
                  <c:v>6</c:v>
                </c:pt>
                <c:pt idx="2">
                  <c:v>7</c:v>
                </c:pt>
                <c:pt idx="3">
                  <c:v>8</c:v>
                </c:pt>
                <c:pt idx="4">
                  <c:v>9</c:v>
                </c:pt>
                <c:pt idx="5">
                  <c:v>10</c:v>
                </c:pt>
                <c:pt idx="6">
                  <c:v>11</c:v>
                </c:pt>
                <c:pt idx="7">
                  <c:v>12</c:v>
                </c:pt>
                <c:pt idx="8">
                  <c:v>13</c:v>
                </c:pt>
                <c:pt idx="9">
                  <c:v>14</c:v>
                </c:pt>
              </c:numCache>
            </c:numRef>
          </c:cat>
          <c:val>
            <c:numRef>
              <c:extLst>
                <c:ext xmlns:c15="http://schemas.microsoft.com/office/drawing/2012/chart" uri="{02D57815-91ED-43cb-92C2-25804820EDAC}">
                  <c15:fullRef>
                    <c15:sqref>Charts_RI!$I$39:$I$52</c15:sqref>
                  </c15:fullRef>
                </c:ext>
              </c:extLst>
              <c:f>Charts_RI!$I$43:$I$52</c:f>
              <c:numCache>
                <c:formatCode>0.00%</c:formatCode>
                <c:ptCount val="10"/>
                <c:pt idx="0">
                  <c:v>-0.31632752977463524</c:v>
                </c:pt>
                <c:pt idx="1">
                  <c:v>0.23181702256247547</c:v>
                </c:pt>
                <c:pt idx="2">
                  <c:v>0.23181702256246858</c:v>
                </c:pt>
                <c:pt idx="3">
                  <c:v>0.2318170225624745</c:v>
                </c:pt>
                <c:pt idx="4">
                  <c:v>0.23181702256247128</c:v>
                </c:pt>
                <c:pt idx="5">
                  <c:v>0.2318170225624728</c:v>
                </c:pt>
                <c:pt idx="6">
                  <c:v>0.23181702256247366</c:v>
                </c:pt>
                <c:pt idx="7">
                  <c:v>0.23181702256247111</c:v>
                </c:pt>
                <c:pt idx="8">
                  <c:v>0.23181702256247289</c:v>
                </c:pt>
                <c:pt idx="9">
                  <c:v>0.23181702256247261</c:v>
                </c:pt>
              </c:numCache>
            </c:numRef>
          </c:val>
          <c:smooth val="0"/>
          <c:extLst>
            <c:ext xmlns:c16="http://schemas.microsoft.com/office/drawing/2014/chart" uri="{C3380CC4-5D6E-409C-BE32-E72D297353CC}">
              <c16:uniqueId val="{00000000-BD30-4E35-B860-0930F33BF3C1}"/>
            </c:ext>
          </c:extLst>
        </c:ser>
        <c:ser>
          <c:idx val="1"/>
          <c:order val="1"/>
          <c:tx>
            <c:strRef>
              <c:f>Charts_RI!$J$38</c:f>
              <c:strCache>
                <c:ptCount val="1"/>
                <c:pt idx="0">
                  <c:v>Scenario 3</c:v>
                </c:pt>
              </c:strCache>
            </c:strRef>
          </c:tx>
          <c:spPr>
            <a:ln w="19050">
              <a:solidFill>
                <a:schemeClr val="bg2"/>
              </a:solidFill>
            </a:ln>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Charts_RI!$J$39:$J$52</c15:sqref>
                  </c15:fullRef>
                </c:ext>
              </c:extLst>
              <c:f>Charts_RI!$J$43:$J$52</c:f>
              <c:numCache>
                <c:formatCode>0.00%</c:formatCode>
                <c:ptCount val="10"/>
                <c:pt idx="0">
                  <c:v>-0.31632752977463524</c:v>
                </c:pt>
                <c:pt idx="1">
                  <c:v>0.6696144572145587</c:v>
                </c:pt>
                <c:pt idx="2">
                  <c:v>0.29008628981165457</c:v>
                </c:pt>
                <c:pt idx="3">
                  <c:v>0.29008628981165696</c:v>
                </c:pt>
                <c:pt idx="4">
                  <c:v>0.29008628981165541</c:v>
                </c:pt>
                <c:pt idx="5">
                  <c:v>0.29008628981165691</c:v>
                </c:pt>
                <c:pt idx="6">
                  <c:v>0.29008628981165807</c:v>
                </c:pt>
                <c:pt idx="7">
                  <c:v>0.29008628981165546</c:v>
                </c:pt>
                <c:pt idx="8">
                  <c:v>0.29008628981165713</c:v>
                </c:pt>
                <c:pt idx="9">
                  <c:v>0.29008628981165657</c:v>
                </c:pt>
              </c:numCache>
            </c:numRef>
          </c:val>
          <c:smooth val="0"/>
          <c:extLst>
            <c:ext xmlns:c16="http://schemas.microsoft.com/office/drawing/2014/chart" uri="{C3380CC4-5D6E-409C-BE32-E72D297353CC}">
              <c16:uniqueId val="{00000001-BD30-4E35-B860-0930F33BF3C1}"/>
            </c:ext>
          </c:extLst>
        </c:ser>
        <c:ser>
          <c:idx val="2"/>
          <c:order val="2"/>
          <c:tx>
            <c:strRef>
              <c:f>Charts_RI!$K$38</c:f>
              <c:strCache>
                <c:ptCount val="1"/>
                <c:pt idx="0">
                  <c:v>Scenario 4</c:v>
                </c:pt>
              </c:strCache>
            </c:strRef>
          </c:tx>
          <c:spPr>
            <a:ln w="19050">
              <a:solidFill>
                <a:schemeClr val="accent6"/>
              </a:solidFill>
            </a:ln>
          </c:spPr>
          <c:marker>
            <c:symbol val="none"/>
          </c:marker>
          <c:cat>
            <c:strLit>
              <c:ptCount val="10"/>
              <c:pt idx="0">
                <c:v>5</c:v>
              </c:pt>
              <c:pt idx="1">
                <c:v>6</c:v>
              </c:pt>
              <c:pt idx="2">
                <c:v>7</c:v>
              </c:pt>
              <c:pt idx="3">
                <c:v>8</c:v>
              </c:pt>
              <c:pt idx="4">
                <c:v>9</c:v>
              </c:pt>
              <c:pt idx="5">
                <c:v>10</c:v>
              </c:pt>
              <c:pt idx="6">
                <c:v>11</c:v>
              </c:pt>
              <c:pt idx="7">
                <c:v>12</c:v>
              </c:pt>
              <c:pt idx="8">
                <c:v>13</c:v>
              </c:pt>
              <c:pt idx="9">
                <c:v>14</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Charts_RI!$K$39:$K$52</c15:sqref>
                  </c15:fullRef>
                </c:ext>
              </c:extLst>
              <c:f>Charts_RI!$K$43:$K$52</c:f>
              <c:numCache>
                <c:formatCode>0.00%</c:formatCode>
                <c:ptCount val="10"/>
                <c:pt idx="0">
                  <c:v>-0.31632752977463524</c:v>
                </c:pt>
                <c:pt idx="1">
                  <c:v>0.6696144572145587</c:v>
                </c:pt>
                <c:pt idx="2">
                  <c:v>0.20672682692038022</c:v>
                </c:pt>
                <c:pt idx="3">
                  <c:v>0.27981770448008175</c:v>
                </c:pt>
                <c:pt idx="4">
                  <c:v>0.27981770448007781</c:v>
                </c:pt>
                <c:pt idx="5">
                  <c:v>0.27981770448008064</c:v>
                </c:pt>
                <c:pt idx="6">
                  <c:v>0.2798177044800817</c:v>
                </c:pt>
                <c:pt idx="7">
                  <c:v>0.27981770448007898</c:v>
                </c:pt>
                <c:pt idx="8">
                  <c:v>0.27981770448008053</c:v>
                </c:pt>
                <c:pt idx="9">
                  <c:v>0.27981770448007981</c:v>
                </c:pt>
              </c:numCache>
            </c:numRef>
          </c:val>
          <c:smooth val="0"/>
          <c:extLst>
            <c:ext xmlns:c16="http://schemas.microsoft.com/office/drawing/2014/chart" uri="{C3380CC4-5D6E-409C-BE32-E72D297353CC}">
              <c16:uniqueId val="{00000002-BD30-4E35-B860-0930F33BF3C1}"/>
            </c:ext>
          </c:extLst>
        </c:ser>
        <c:dLbls>
          <c:showLegendKey val="0"/>
          <c:showVal val="0"/>
          <c:showCatName val="0"/>
          <c:showSerName val="0"/>
          <c:showPercent val="0"/>
          <c:showBubbleSize val="0"/>
        </c:dLbls>
        <c:smooth val="0"/>
        <c:axId val="763107112"/>
        <c:axId val="763107440"/>
      </c:lineChart>
      <c:catAx>
        <c:axId val="763107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440"/>
        <c:crosses val="autoZero"/>
        <c:auto val="1"/>
        <c:lblAlgn val="ctr"/>
        <c:lblOffset val="100"/>
        <c:noMultiLvlLbl val="0"/>
      </c:catAx>
      <c:valAx>
        <c:axId val="76310744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3107112"/>
        <c:crosses val="autoZero"/>
        <c:crossBetween val="between"/>
      </c:valAx>
    </c:plotArea>
    <c:legend>
      <c:legendPos val="b"/>
      <c:overlay val="0"/>
    </c:legend>
    <c:plotVisOnly val="1"/>
    <c:dispBlanksAs val="zero"/>
    <c:showDLblsOverMax val="0"/>
    <c:extLst/>
  </c:chart>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oneCellAnchor>
    <xdr:from>
      <xdr:col>9</xdr:col>
      <xdr:colOff>0</xdr:colOff>
      <xdr:row>8</xdr:row>
      <xdr:rowOff>0</xdr:rowOff>
    </xdr:from>
    <xdr:ext cx="6383867" cy="609013"/>
    <xdr:sp macro="" textlink="">
      <xdr:nvSpPr>
        <xdr:cNvPr id="3" name="TextBox 2">
          <a:extLst>
            <a:ext uri="{FF2B5EF4-FFF2-40B4-BE49-F238E27FC236}">
              <a16:creationId xmlns:a16="http://schemas.microsoft.com/office/drawing/2014/main" id="{D51FAFD7-659C-4571-BD61-3C93AC58983C}"/>
            </a:ext>
          </a:extLst>
        </xdr:cNvPr>
        <xdr:cNvSpPr txBox="1"/>
      </xdr:nvSpPr>
      <xdr:spPr>
        <a:xfrm>
          <a:off x="6604000" y="1161143"/>
          <a:ext cx="6383867" cy="609013"/>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accent2"/>
              </a:solidFill>
            </a:rPr>
            <a:t>Scenario: </a:t>
          </a:r>
        </a:p>
        <a:p>
          <a:r>
            <a:rPr lang="en-US" sz="1100">
              <a:solidFill>
                <a:schemeClr val="accent2"/>
              </a:solidFill>
            </a:rPr>
            <a:t>No claims that were open at EOY 3 terminate as expected, resulting in higher paid claims in time 4 and higher claim reserves at EOY 4.</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9</xdr:col>
      <xdr:colOff>0</xdr:colOff>
      <xdr:row>8</xdr:row>
      <xdr:rowOff>0</xdr:rowOff>
    </xdr:from>
    <xdr:ext cx="6383867" cy="953466"/>
    <xdr:sp macro="" textlink="">
      <xdr:nvSpPr>
        <xdr:cNvPr id="5" name="TextBox 4">
          <a:extLst>
            <a:ext uri="{FF2B5EF4-FFF2-40B4-BE49-F238E27FC236}">
              <a16:creationId xmlns:a16="http://schemas.microsoft.com/office/drawing/2014/main" id="{79136048-BC99-4159-A835-DB1836B3D68B}"/>
            </a:ext>
          </a:extLst>
        </xdr:cNvPr>
        <xdr:cNvSpPr txBox="1"/>
      </xdr:nvSpPr>
      <xdr:spPr>
        <a:xfrm>
          <a:off x="6604000" y="1161143"/>
          <a:ext cx="6383867" cy="953466"/>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accent2"/>
              </a:solidFill>
            </a:rPr>
            <a:t>Scenario: </a:t>
          </a:r>
        </a:p>
        <a:p>
          <a:r>
            <a:rPr lang="en-US" sz="1100">
              <a:solidFill>
                <a:schemeClr val="accent2"/>
              </a:solidFill>
            </a:rPr>
            <a:t>No claims that were open at EOY 4 terminate as expected resulting in higher paid claims in time 5. </a:t>
          </a:r>
        </a:p>
        <a:p>
          <a:r>
            <a:rPr lang="en-US" sz="1100">
              <a:solidFill>
                <a:schemeClr val="accent2"/>
              </a:solidFill>
            </a:rPr>
            <a:t>Based on the unfavorable claim terminations in years 4 and 5, the claim termination assumption is decreased to 5%, resulting in higher claim reserves at EOY 5, and higher benefit reserves driven by worse projected claim severity.</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9</xdr:col>
      <xdr:colOff>0</xdr:colOff>
      <xdr:row>8</xdr:row>
      <xdr:rowOff>0</xdr:rowOff>
    </xdr:from>
    <xdr:ext cx="6383867" cy="781240"/>
    <xdr:sp macro="" textlink="">
      <xdr:nvSpPr>
        <xdr:cNvPr id="4" name="TextBox 3">
          <a:extLst>
            <a:ext uri="{FF2B5EF4-FFF2-40B4-BE49-F238E27FC236}">
              <a16:creationId xmlns:a16="http://schemas.microsoft.com/office/drawing/2014/main" id="{45FD89A6-5195-45E5-AD0E-0D165EE39823}"/>
            </a:ext>
          </a:extLst>
        </xdr:cNvPr>
        <xdr:cNvSpPr txBox="1"/>
      </xdr:nvSpPr>
      <xdr:spPr>
        <a:xfrm>
          <a:off x="6604000" y="1161143"/>
          <a:ext cx="6383867" cy="78124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accent2"/>
              </a:solidFill>
            </a:rPr>
            <a:t>Scenario: </a:t>
          </a:r>
        </a:p>
        <a:p>
          <a:r>
            <a:rPr lang="en-US" sz="1100">
              <a:solidFill>
                <a:schemeClr val="accent2"/>
              </a:solidFill>
            </a:rPr>
            <a:t>Based on the unfavorable claim termination experience and updated assumption,</a:t>
          </a:r>
          <a:r>
            <a:rPr lang="en-US" sz="1100" baseline="0">
              <a:solidFill>
                <a:schemeClr val="accent2"/>
              </a:solidFill>
            </a:rPr>
            <a:t> you decide to file rate increases for the product. You assume that a rate increase of 20% will be approved across the block of business and will be implemented 50/50 in years 7 and 8.</a:t>
          </a:r>
          <a:endParaRPr lang="en-US" sz="1100">
            <a:solidFill>
              <a:schemeClr val="accent2"/>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0</xdr:colOff>
      <xdr:row>8</xdr:row>
      <xdr:rowOff>0</xdr:rowOff>
    </xdr:from>
    <xdr:ext cx="6383867" cy="781240"/>
    <xdr:sp macro="" textlink="">
      <xdr:nvSpPr>
        <xdr:cNvPr id="3" name="TextBox 2">
          <a:extLst>
            <a:ext uri="{FF2B5EF4-FFF2-40B4-BE49-F238E27FC236}">
              <a16:creationId xmlns:a16="http://schemas.microsoft.com/office/drawing/2014/main" id="{0FB1708B-B5C0-41DF-8D12-592F97A6059C}"/>
            </a:ext>
          </a:extLst>
        </xdr:cNvPr>
        <xdr:cNvSpPr txBox="1"/>
      </xdr:nvSpPr>
      <xdr:spPr>
        <a:xfrm>
          <a:off x="6604000" y="1161143"/>
          <a:ext cx="6383867" cy="78124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a:solidFill>
                <a:schemeClr val="accent2"/>
              </a:solidFill>
              <a:effectLst/>
              <a:latin typeface="+mn-lt"/>
              <a:ea typeface="+mn-ea"/>
              <a:cs typeface="+mn-cs"/>
            </a:rPr>
            <a:t>Scenario: </a:t>
          </a:r>
          <a:endParaRPr lang="en-US">
            <a:solidFill>
              <a:schemeClr val="accent2"/>
            </a:solidFill>
            <a:effectLst/>
          </a:endParaRPr>
        </a:p>
        <a:p>
          <a:r>
            <a:rPr lang="en-US" sz="1100">
              <a:solidFill>
                <a:schemeClr val="accent2"/>
              </a:solidFill>
              <a:effectLst/>
              <a:latin typeface="+mn-lt"/>
              <a:ea typeface="+mn-ea"/>
              <a:cs typeface="+mn-cs"/>
            </a:rPr>
            <a:t>The planned rate increase</a:t>
          </a:r>
          <a:r>
            <a:rPr lang="en-US" sz="1100" baseline="0">
              <a:solidFill>
                <a:schemeClr val="accent2"/>
              </a:solidFill>
              <a:effectLst/>
              <a:latin typeface="+mn-lt"/>
              <a:ea typeface="+mn-ea"/>
              <a:cs typeface="+mn-cs"/>
            </a:rPr>
            <a:t> was approved faster than expected, but with a lower total rate increase. The resulting 15% approved rate increase was implemented for year 7, and no future additional rate increases are assumed.</a:t>
          </a:r>
          <a:endParaRPr lang="en-US">
            <a:solidFill>
              <a:schemeClr val="accent2"/>
            </a:solidFill>
            <a:effectLst/>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4</xdr:col>
      <xdr:colOff>0</xdr:colOff>
      <xdr:row>16</xdr:row>
      <xdr:rowOff>0</xdr:rowOff>
    </xdr:from>
    <xdr:to>
      <xdr:col>9</xdr:col>
      <xdr:colOff>169333</xdr:colOff>
      <xdr:row>32</xdr:row>
      <xdr:rowOff>8466</xdr:rowOff>
    </xdr:to>
    <xdr:graphicFrame macro="">
      <xdr:nvGraphicFramePr>
        <xdr:cNvPr id="20" name="Chart 19">
          <a:extLst>
            <a:ext uri="{FF2B5EF4-FFF2-40B4-BE49-F238E27FC236}">
              <a16:creationId xmlns:a16="http://schemas.microsoft.com/office/drawing/2014/main" id="{A2548E2B-3446-473C-BDB7-C900C7C129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16</xdr:row>
      <xdr:rowOff>0</xdr:rowOff>
    </xdr:from>
    <xdr:to>
      <xdr:col>15</xdr:col>
      <xdr:colOff>143934</xdr:colOff>
      <xdr:row>32</xdr:row>
      <xdr:rowOff>8466</xdr:rowOff>
    </xdr:to>
    <xdr:graphicFrame macro="">
      <xdr:nvGraphicFramePr>
        <xdr:cNvPr id="21" name="Chart 20">
          <a:extLst>
            <a:ext uri="{FF2B5EF4-FFF2-40B4-BE49-F238E27FC236}">
              <a16:creationId xmlns:a16="http://schemas.microsoft.com/office/drawing/2014/main" id="{2A123927-26E3-45DC-9F8E-C7D31540A4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0</xdr:colOff>
      <xdr:row>16</xdr:row>
      <xdr:rowOff>0</xdr:rowOff>
    </xdr:from>
    <xdr:to>
      <xdr:col>23</xdr:col>
      <xdr:colOff>304800</xdr:colOff>
      <xdr:row>32</xdr:row>
      <xdr:rowOff>8466</xdr:rowOff>
    </xdr:to>
    <xdr:graphicFrame macro="">
      <xdr:nvGraphicFramePr>
        <xdr:cNvPr id="22" name="Chart 21">
          <a:extLst>
            <a:ext uri="{FF2B5EF4-FFF2-40B4-BE49-F238E27FC236}">
              <a16:creationId xmlns:a16="http://schemas.microsoft.com/office/drawing/2014/main" id="{BF3C81D0-68C9-436D-895F-B726C3AA58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41</xdr:row>
      <xdr:rowOff>0</xdr:rowOff>
    </xdr:from>
    <xdr:to>
      <xdr:col>14</xdr:col>
      <xdr:colOff>592666</xdr:colOff>
      <xdr:row>57</xdr:row>
      <xdr:rowOff>8468</xdr:rowOff>
    </xdr:to>
    <xdr:graphicFrame macro="">
      <xdr:nvGraphicFramePr>
        <xdr:cNvPr id="24" name="Chart 23">
          <a:extLst>
            <a:ext uri="{FF2B5EF4-FFF2-40B4-BE49-F238E27FC236}">
              <a16:creationId xmlns:a16="http://schemas.microsoft.com/office/drawing/2014/main" id="{5170EB52-9F68-4D1B-AF1A-A6A3E336AC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0</xdr:colOff>
      <xdr:row>41</xdr:row>
      <xdr:rowOff>0</xdr:rowOff>
    </xdr:from>
    <xdr:to>
      <xdr:col>9</xdr:col>
      <xdr:colOff>8466</xdr:colOff>
      <xdr:row>57</xdr:row>
      <xdr:rowOff>8468</xdr:rowOff>
    </xdr:to>
    <xdr:graphicFrame macro="">
      <xdr:nvGraphicFramePr>
        <xdr:cNvPr id="26" name="Chart 25">
          <a:extLst>
            <a:ext uri="{FF2B5EF4-FFF2-40B4-BE49-F238E27FC236}">
              <a16:creationId xmlns:a16="http://schemas.microsoft.com/office/drawing/2014/main" id="{37ADDA1E-79D2-4014-8C43-9CECF899EE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16</xdr:row>
      <xdr:rowOff>0</xdr:rowOff>
    </xdr:from>
    <xdr:to>
      <xdr:col>9</xdr:col>
      <xdr:colOff>169333</xdr:colOff>
      <xdr:row>32</xdr:row>
      <xdr:rowOff>8466</xdr:rowOff>
    </xdr:to>
    <xdr:graphicFrame macro="">
      <xdr:nvGraphicFramePr>
        <xdr:cNvPr id="3" name="Chart 2">
          <a:extLst>
            <a:ext uri="{FF2B5EF4-FFF2-40B4-BE49-F238E27FC236}">
              <a16:creationId xmlns:a16="http://schemas.microsoft.com/office/drawing/2014/main" id="{BC2D6F91-3016-4FD8-9BAD-AB7CB627DE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16</xdr:row>
      <xdr:rowOff>0</xdr:rowOff>
    </xdr:from>
    <xdr:to>
      <xdr:col>15</xdr:col>
      <xdr:colOff>143934</xdr:colOff>
      <xdr:row>32</xdr:row>
      <xdr:rowOff>8466</xdr:rowOff>
    </xdr:to>
    <xdr:graphicFrame macro="">
      <xdr:nvGraphicFramePr>
        <xdr:cNvPr id="4" name="Chart 3">
          <a:extLst>
            <a:ext uri="{FF2B5EF4-FFF2-40B4-BE49-F238E27FC236}">
              <a16:creationId xmlns:a16="http://schemas.microsoft.com/office/drawing/2014/main" id="{9F17D37D-804A-4EBA-9B8F-3B542FF164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0</xdr:colOff>
      <xdr:row>16</xdr:row>
      <xdr:rowOff>0</xdr:rowOff>
    </xdr:from>
    <xdr:to>
      <xdr:col>23</xdr:col>
      <xdr:colOff>304800</xdr:colOff>
      <xdr:row>32</xdr:row>
      <xdr:rowOff>8466</xdr:rowOff>
    </xdr:to>
    <xdr:graphicFrame macro="">
      <xdr:nvGraphicFramePr>
        <xdr:cNvPr id="5" name="Chart 4">
          <a:extLst>
            <a:ext uri="{FF2B5EF4-FFF2-40B4-BE49-F238E27FC236}">
              <a16:creationId xmlns:a16="http://schemas.microsoft.com/office/drawing/2014/main" id="{708A46B3-D828-4AE8-AA88-1FBDEB5AAD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41</xdr:row>
      <xdr:rowOff>0</xdr:rowOff>
    </xdr:from>
    <xdr:to>
      <xdr:col>14</xdr:col>
      <xdr:colOff>592666</xdr:colOff>
      <xdr:row>57</xdr:row>
      <xdr:rowOff>8468</xdr:rowOff>
    </xdr:to>
    <xdr:graphicFrame macro="">
      <xdr:nvGraphicFramePr>
        <xdr:cNvPr id="6" name="Chart 5">
          <a:extLst>
            <a:ext uri="{FF2B5EF4-FFF2-40B4-BE49-F238E27FC236}">
              <a16:creationId xmlns:a16="http://schemas.microsoft.com/office/drawing/2014/main" id="{6822E803-2949-4D3F-B5CE-1463D16557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0</xdr:colOff>
      <xdr:row>41</xdr:row>
      <xdr:rowOff>0</xdr:rowOff>
    </xdr:from>
    <xdr:to>
      <xdr:col>9</xdr:col>
      <xdr:colOff>8466</xdr:colOff>
      <xdr:row>57</xdr:row>
      <xdr:rowOff>8468</xdr:rowOff>
    </xdr:to>
    <xdr:graphicFrame macro="">
      <xdr:nvGraphicFramePr>
        <xdr:cNvPr id="7" name="Chart 6">
          <a:extLst>
            <a:ext uri="{FF2B5EF4-FFF2-40B4-BE49-F238E27FC236}">
              <a16:creationId xmlns:a16="http://schemas.microsoft.com/office/drawing/2014/main" id="{3D706B5F-9F99-45F0-ACA4-9F5B7BE08D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Deloitte US Color1">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00A3E0"/>
      </a:hlink>
      <a:folHlink>
        <a:srgbClr val="53565A"/>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CC404-E5C0-4259-AFF3-36E3E4C52A7F}">
  <dimension ref="A1:W49"/>
  <sheetViews>
    <sheetView tabSelected="1" workbookViewId="0">
      <selection activeCell="AD28" sqref="AD28"/>
    </sheetView>
  </sheetViews>
  <sheetFormatPr defaultColWidth="8.85546875" defaultRowHeight="15" x14ac:dyDescent="0.25"/>
  <cols>
    <col min="1" max="3" width="1.85546875" style="111" customWidth="1"/>
    <col min="4" max="16384" width="8.85546875" style="111"/>
  </cols>
  <sheetData>
    <row r="1" spans="1:23" ht="13.35" customHeight="1" x14ac:dyDescent="0.25">
      <c r="A1" s="4" t="s">
        <v>95</v>
      </c>
      <c r="M1" s="3" t="s">
        <v>126</v>
      </c>
    </row>
    <row r="2" spans="1:23" ht="13.35" customHeight="1" x14ac:dyDescent="0.25">
      <c r="A2" s="1" t="s">
        <v>96</v>
      </c>
    </row>
    <row r="3" spans="1:23" ht="2.1" customHeight="1" x14ac:dyDescent="0.25"/>
    <row r="4" spans="1:23" ht="13.35" customHeight="1" x14ac:dyDescent="0.25">
      <c r="A4" s="5" t="s">
        <v>97</v>
      </c>
    </row>
    <row r="5" spans="1:23" ht="13.35" customHeight="1" x14ac:dyDescent="0.25">
      <c r="A5" s="6" t="s">
        <v>108</v>
      </c>
    </row>
    <row r="6" spans="1:23" ht="2.1" customHeight="1" x14ac:dyDescent="0.25">
      <c r="A6" s="4"/>
    </row>
    <row r="7" spans="1:23" ht="13.35" customHeight="1" x14ac:dyDescent="0.25">
      <c r="A7" s="2" t="s">
        <v>98</v>
      </c>
    </row>
    <row r="8" spans="1:23" ht="13.35" customHeight="1" x14ac:dyDescent="0.25">
      <c r="A8" s="2"/>
    </row>
    <row r="9" spans="1:23" ht="13.35" customHeight="1" x14ac:dyDescent="0.25">
      <c r="B9" s="111" t="s">
        <v>99</v>
      </c>
    </row>
    <row r="10" spans="1:23" ht="13.35" customHeight="1" x14ac:dyDescent="0.25"/>
    <row r="11" spans="1:23" ht="13.35" customHeight="1" x14ac:dyDescent="0.25">
      <c r="B11" s="111" t="s">
        <v>100</v>
      </c>
    </row>
    <row r="12" spans="1:23" ht="13.35" customHeight="1" x14ac:dyDescent="0.25">
      <c r="B12" s="111" t="s">
        <v>101</v>
      </c>
    </row>
    <row r="13" spans="1:23" ht="13.35" customHeight="1" x14ac:dyDescent="0.25">
      <c r="B13" s="111" t="s">
        <v>102</v>
      </c>
    </row>
    <row r="15" spans="1:23" s="115" customFormat="1" ht="13.35" customHeight="1" x14ac:dyDescent="0.25">
      <c r="A15" s="111"/>
      <c r="B15" s="111" t="s">
        <v>129</v>
      </c>
      <c r="C15" s="111"/>
      <c r="D15" s="111"/>
      <c r="E15" s="111"/>
      <c r="F15" s="111"/>
      <c r="G15" s="111"/>
      <c r="H15" s="111"/>
      <c r="I15" s="111"/>
      <c r="J15" s="111"/>
      <c r="K15" s="111"/>
      <c r="L15" s="111"/>
      <c r="M15" s="111"/>
      <c r="N15" s="111"/>
      <c r="O15" s="111"/>
      <c r="P15" s="111"/>
      <c r="Q15" s="111"/>
      <c r="R15" s="111"/>
      <c r="S15" s="111"/>
      <c r="T15" s="111"/>
      <c r="U15" s="111"/>
      <c r="V15" s="111"/>
      <c r="W15" s="111"/>
    </row>
    <row r="16" spans="1:23" s="115" customFormat="1" ht="13.35" customHeight="1" x14ac:dyDescent="0.25">
      <c r="A16" s="111"/>
      <c r="B16" s="111" t="s">
        <v>112</v>
      </c>
      <c r="C16" s="111"/>
      <c r="D16" s="111"/>
      <c r="E16" s="111"/>
      <c r="F16" s="111"/>
      <c r="G16" s="111"/>
      <c r="H16" s="111"/>
      <c r="I16" s="111"/>
      <c r="J16" s="111"/>
      <c r="K16" s="111"/>
      <c r="L16" s="111"/>
      <c r="M16" s="111"/>
      <c r="N16" s="111"/>
      <c r="O16" s="111"/>
      <c r="P16" s="111"/>
      <c r="Q16" s="111"/>
      <c r="R16" s="111"/>
      <c r="S16" s="111"/>
      <c r="T16" s="111"/>
      <c r="U16" s="111"/>
      <c r="V16" s="111"/>
      <c r="W16" s="111"/>
    </row>
    <row r="17" spans="1:23" s="115" customFormat="1" ht="13.35" customHeight="1" x14ac:dyDescent="0.25">
      <c r="A17" s="111"/>
      <c r="B17" s="111" t="s">
        <v>130</v>
      </c>
      <c r="C17" s="111"/>
      <c r="D17" s="111"/>
      <c r="E17" s="111"/>
      <c r="F17" s="111"/>
      <c r="G17" s="111"/>
      <c r="H17" s="111"/>
      <c r="I17" s="111"/>
      <c r="J17" s="111"/>
      <c r="K17" s="111"/>
      <c r="L17" s="111"/>
      <c r="M17" s="111"/>
      <c r="N17" s="111"/>
      <c r="O17" s="111"/>
      <c r="P17" s="111"/>
      <c r="Q17" s="111"/>
      <c r="R17" s="111"/>
      <c r="S17" s="111"/>
      <c r="T17" s="111"/>
      <c r="U17" s="111"/>
      <c r="V17" s="111"/>
      <c r="W17" s="111"/>
    </row>
    <row r="18" spans="1:23" s="115" customFormat="1" ht="13.35" customHeight="1" x14ac:dyDescent="0.25">
      <c r="A18" s="111"/>
      <c r="B18" s="111" t="s">
        <v>131</v>
      </c>
      <c r="C18" s="111"/>
      <c r="D18" s="111"/>
      <c r="E18" s="111"/>
      <c r="F18" s="111"/>
      <c r="G18" s="111"/>
      <c r="H18" s="111"/>
      <c r="I18" s="111"/>
      <c r="J18" s="111"/>
      <c r="K18" s="111"/>
      <c r="L18" s="111"/>
      <c r="M18" s="111"/>
      <c r="N18" s="111"/>
      <c r="O18" s="111"/>
      <c r="P18" s="111"/>
      <c r="Q18" s="111"/>
      <c r="R18" s="111"/>
      <c r="S18" s="111"/>
      <c r="T18" s="111"/>
      <c r="U18" s="111"/>
      <c r="V18" s="111"/>
      <c r="W18" s="111"/>
    </row>
    <row r="20" spans="1:23" ht="13.35" customHeight="1" x14ac:dyDescent="0.25">
      <c r="B20" s="5" t="s">
        <v>103</v>
      </c>
    </row>
    <row r="22" spans="1:23" ht="13.35" customHeight="1" x14ac:dyDescent="0.25">
      <c r="C22" s="111" t="s">
        <v>104</v>
      </c>
    </row>
    <row r="23" spans="1:23" ht="13.35" customHeight="1" x14ac:dyDescent="0.25">
      <c r="D23" s="6" t="s">
        <v>128</v>
      </c>
    </row>
    <row r="24" spans="1:23" ht="13.35" customHeight="1" x14ac:dyDescent="0.25">
      <c r="D24" s="111" t="s">
        <v>124</v>
      </c>
    </row>
    <row r="25" spans="1:23" ht="13.35" customHeight="1" x14ac:dyDescent="0.25">
      <c r="D25" s="111" t="s">
        <v>109</v>
      </c>
    </row>
    <row r="26" spans="1:23" ht="13.35" customHeight="1" x14ac:dyDescent="0.25">
      <c r="D26" s="111" t="s">
        <v>105</v>
      </c>
    </row>
    <row r="28" spans="1:23" ht="13.35" customHeight="1" x14ac:dyDescent="0.25">
      <c r="B28" s="5" t="s">
        <v>113</v>
      </c>
      <c r="I28" s="3"/>
      <c r="J28" s="3"/>
      <c r="K28" s="3"/>
      <c r="L28" s="3"/>
      <c r="M28" s="3"/>
    </row>
    <row r="29" spans="1:23" ht="13.35" customHeight="1" x14ac:dyDescent="0.25">
      <c r="B29" s="5"/>
      <c r="I29" s="3"/>
      <c r="J29" s="3"/>
      <c r="K29" s="3"/>
      <c r="L29" s="3"/>
      <c r="M29" s="3"/>
    </row>
    <row r="30" spans="1:23" ht="13.35" customHeight="1" x14ac:dyDescent="0.25">
      <c r="B30" s="5"/>
      <c r="C30" s="111" t="s">
        <v>127</v>
      </c>
      <c r="I30" s="3"/>
      <c r="J30" s="3"/>
      <c r="K30" s="3"/>
      <c r="L30" s="3"/>
      <c r="M30" s="3"/>
    </row>
    <row r="31" spans="1:23" ht="13.35" customHeight="1" x14ac:dyDescent="0.25">
      <c r="B31" s="5"/>
      <c r="C31" s="111" t="s">
        <v>106</v>
      </c>
      <c r="I31" s="3"/>
      <c r="J31" s="3"/>
      <c r="K31" s="3"/>
      <c r="L31" s="3"/>
      <c r="M31" s="3"/>
    </row>
    <row r="32" spans="1:23" ht="13.35" customHeight="1" x14ac:dyDescent="0.25">
      <c r="B32" s="5"/>
      <c r="I32" s="3"/>
      <c r="J32" s="3"/>
      <c r="K32" s="3"/>
      <c r="L32" s="3"/>
      <c r="M32" s="3"/>
    </row>
    <row r="33" spans="1:19" ht="13.35" customHeight="1" x14ac:dyDescent="0.25">
      <c r="B33" s="5" t="s">
        <v>114</v>
      </c>
      <c r="I33" s="3"/>
      <c r="J33" s="3"/>
      <c r="K33" s="3"/>
      <c r="L33" s="3"/>
      <c r="M33" s="3"/>
    </row>
    <row r="34" spans="1:19" ht="13.35" customHeight="1" x14ac:dyDescent="0.25">
      <c r="I34" s="3"/>
      <c r="J34" s="3"/>
      <c r="K34" s="3"/>
      <c r="L34" s="3"/>
      <c r="M34" s="3"/>
    </row>
    <row r="35" spans="1:19" ht="13.35" customHeight="1" x14ac:dyDescent="0.25">
      <c r="C35" s="112" t="s">
        <v>115</v>
      </c>
      <c r="I35" s="3"/>
      <c r="J35" s="3"/>
      <c r="K35" s="3"/>
      <c r="L35" s="3"/>
      <c r="M35" s="3"/>
    </row>
    <row r="36" spans="1:19" ht="13.35" customHeight="1" x14ac:dyDescent="0.25">
      <c r="C36" s="112" t="s">
        <v>116</v>
      </c>
      <c r="I36" s="3"/>
      <c r="J36" s="3"/>
      <c r="K36" s="3"/>
      <c r="L36" s="3"/>
      <c r="M36" s="3"/>
    </row>
    <row r="37" spans="1:19" ht="13.35" customHeight="1" x14ac:dyDescent="0.25">
      <c r="C37" s="112" t="s">
        <v>119</v>
      </c>
      <c r="I37" s="3"/>
      <c r="J37" s="3"/>
      <c r="K37" s="3"/>
      <c r="L37" s="3"/>
      <c r="M37" s="3"/>
    </row>
    <row r="38" spans="1:19" ht="13.35" customHeight="1" x14ac:dyDescent="0.25">
      <c r="C38" s="112" t="s">
        <v>117</v>
      </c>
      <c r="I38" s="3"/>
      <c r="J38" s="3"/>
      <c r="K38" s="3"/>
      <c r="L38" s="3"/>
      <c r="M38" s="3"/>
    </row>
    <row r="39" spans="1:19" ht="13.35" customHeight="1" x14ac:dyDescent="0.25">
      <c r="C39" s="112" t="s">
        <v>118</v>
      </c>
      <c r="I39" s="3"/>
      <c r="J39" s="3"/>
      <c r="K39" s="3"/>
      <c r="L39" s="3"/>
      <c r="M39" s="3"/>
    </row>
    <row r="40" spans="1:19" ht="13.35" customHeight="1" x14ac:dyDescent="0.25">
      <c r="C40" s="112" t="s">
        <v>120</v>
      </c>
      <c r="I40" s="3"/>
      <c r="J40" s="3"/>
      <c r="K40" s="3"/>
      <c r="L40" s="3"/>
      <c r="M40" s="3"/>
    </row>
    <row r="41" spans="1:19" ht="13.35" customHeight="1" x14ac:dyDescent="0.25">
      <c r="I41" s="3"/>
      <c r="J41" s="3"/>
      <c r="K41" s="3"/>
      <c r="L41" s="3"/>
      <c r="M41" s="3"/>
    </row>
    <row r="42" spans="1:19" ht="13.35" customHeight="1" x14ac:dyDescent="0.25">
      <c r="B42" s="5" t="s">
        <v>107</v>
      </c>
      <c r="I42" s="3"/>
      <c r="J42" s="3"/>
      <c r="K42" s="3"/>
      <c r="L42" s="3"/>
      <c r="M42" s="3"/>
    </row>
    <row r="43" spans="1:19" ht="13.35" customHeight="1" x14ac:dyDescent="0.25">
      <c r="I43" s="3"/>
      <c r="J43" s="3"/>
      <c r="K43" s="3"/>
      <c r="L43" s="3"/>
      <c r="M43" s="3"/>
    </row>
    <row r="44" spans="1:19" ht="13.35" customHeight="1" x14ac:dyDescent="0.25">
      <c r="C44" s="111" t="s">
        <v>111</v>
      </c>
      <c r="I44" s="3"/>
      <c r="J44" s="3"/>
      <c r="K44" s="3"/>
      <c r="L44" s="3"/>
      <c r="M44" s="3"/>
    </row>
    <row r="45" spans="1:19" ht="13.35" customHeight="1" x14ac:dyDescent="0.25">
      <c r="A45" s="3"/>
      <c r="B45" s="3"/>
      <c r="C45" s="3"/>
      <c r="D45" s="112" t="s">
        <v>121</v>
      </c>
      <c r="E45" s="3"/>
      <c r="F45" s="3"/>
      <c r="G45" s="3"/>
      <c r="H45" s="3"/>
      <c r="I45" s="3"/>
      <c r="J45" s="3"/>
      <c r="K45" s="3"/>
      <c r="L45" s="3"/>
      <c r="M45" s="3"/>
      <c r="N45" s="3"/>
      <c r="O45" s="3"/>
      <c r="P45" s="3"/>
      <c r="Q45" s="3"/>
      <c r="R45" s="3"/>
      <c r="S45" s="3"/>
    </row>
    <row r="46" spans="1:19" ht="13.35" customHeight="1" x14ac:dyDescent="0.25">
      <c r="A46" s="3"/>
      <c r="B46" s="3"/>
      <c r="C46" s="3"/>
      <c r="D46" s="112" t="s">
        <v>110</v>
      </c>
      <c r="E46" s="3"/>
      <c r="F46" s="3"/>
      <c r="G46" s="3"/>
      <c r="H46" s="3"/>
      <c r="I46" s="3"/>
      <c r="J46" s="3"/>
      <c r="K46" s="3"/>
      <c r="L46" s="3"/>
      <c r="M46" s="3"/>
      <c r="N46" s="3"/>
      <c r="O46" s="3"/>
      <c r="P46" s="3"/>
      <c r="Q46" s="3"/>
      <c r="R46" s="3"/>
      <c r="S46" s="3"/>
    </row>
    <row r="47" spans="1:19" ht="13.35" customHeight="1" x14ac:dyDescent="0.25">
      <c r="A47" s="3"/>
      <c r="B47" s="3"/>
      <c r="C47" s="3"/>
      <c r="D47" s="112" t="s">
        <v>125</v>
      </c>
      <c r="E47" s="3"/>
      <c r="F47" s="3"/>
      <c r="G47" s="3"/>
      <c r="H47" s="3"/>
      <c r="I47" s="3"/>
      <c r="J47" s="3"/>
      <c r="K47" s="3"/>
      <c r="L47" s="3"/>
      <c r="M47" s="3"/>
      <c r="N47" s="3"/>
      <c r="O47" s="3"/>
      <c r="P47" s="3"/>
      <c r="Q47" s="3"/>
      <c r="R47" s="3"/>
      <c r="S47" s="3"/>
    </row>
    <row r="48" spans="1:19" ht="13.35" customHeight="1" x14ac:dyDescent="0.25">
      <c r="D48" s="112" t="s">
        <v>122</v>
      </c>
      <c r="I48" s="3"/>
      <c r="J48" s="3"/>
      <c r="K48" s="3"/>
      <c r="L48" s="3"/>
      <c r="M48" s="3"/>
    </row>
    <row r="49" spans="4:4" x14ac:dyDescent="0.25">
      <c r="D49" s="112" t="s">
        <v>123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sheetPr>
  <dimension ref="A1:AG116"/>
  <sheetViews>
    <sheetView showGridLines="0" zoomScaleNormal="100" workbookViewId="0">
      <selection activeCell="E5" sqref="E5"/>
    </sheetView>
  </sheetViews>
  <sheetFormatPr defaultColWidth="8.85546875" defaultRowHeight="15" x14ac:dyDescent="0.25"/>
  <cols>
    <col min="1" max="4" width="1.85546875" style="3" customWidth="1"/>
    <col min="5" max="5" width="18.85546875" style="3" bestFit="1" customWidth="1"/>
    <col min="6" max="6" width="21.5703125" style="3" bestFit="1" customWidth="1"/>
    <col min="7" max="21" width="15.5703125" style="3" bestFit="1" customWidth="1"/>
    <col min="22" max="22" width="14" style="3" bestFit="1" customWidth="1"/>
    <col min="23" max="24" width="16.140625" style="3" bestFit="1" customWidth="1"/>
    <col min="25" max="25" width="20.42578125" style="3" customWidth="1"/>
    <col min="26" max="26" width="15.28515625" style="3" bestFit="1" customWidth="1"/>
    <col min="27" max="27" width="15.5703125" style="3" bestFit="1" customWidth="1"/>
    <col min="28" max="28" width="10.42578125" style="3" bestFit="1" customWidth="1"/>
    <col min="29" max="29" width="7.140625" style="3" bestFit="1" customWidth="1"/>
    <col min="30" max="30" width="12.42578125" style="3" customWidth="1"/>
    <col min="31" max="31" width="15.5703125" style="3" bestFit="1" customWidth="1"/>
    <col min="32" max="32" width="12.7109375" style="3" customWidth="1"/>
    <col min="33" max="34" width="11.85546875" style="3" bestFit="1" customWidth="1"/>
    <col min="35" max="16384" width="8.85546875" style="3"/>
  </cols>
  <sheetData>
    <row r="1" spans="1:11" x14ac:dyDescent="0.25">
      <c r="A1" s="4" t="s">
        <v>95</v>
      </c>
    </row>
    <row r="2" spans="1:11" x14ac:dyDescent="0.25">
      <c r="A2" s="1" t="s">
        <v>96</v>
      </c>
    </row>
    <row r="3" spans="1:11" x14ac:dyDescent="0.25">
      <c r="A3" s="5" t="s">
        <v>97</v>
      </c>
    </row>
    <row r="4" spans="1:11" x14ac:dyDescent="0.25">
      <c r="A4" s="6" t="s">
        <v>108</v>
      </c>
    </row>
    <row r="6" spans="1:11" x14ac:dyDescent="0.25">
      <c r="B6" s="2" t="s">
        <v>0</v>
      </c>
    </row>
    <row r="7" spans="1:11" x14ac:dyDescent="0.25">
      <c r="B7" s="2" t="s">
        <v>1</v>
      </c>
    </row>
    <row r="8" spans="1:11" x14ac:dyDescent="0.25">
      <c r="B8" s="2"/>
    </row>
    <row r="9" spans="1:11" x14ac:dyDescent="0.25">
      <c r="B9" s="2" t="s">
        <v>7</v>
      </c>
      <c r="K9" s="7"/>
    </row>
    <row r="11" spans="1:11" x14ac:dyDescent="0.25">
      <c r="B11" s="2" t="s">
        <v>58</v>
      </c>
    </row>
    <row r="13" spans="1:11" x14ac:dyDescent="0.25">
      <c r="C13" s="2" t="s">
        <v>2</v>
      </c>
    </row>
    <row r="14" spans="1:11" x14ac:dyDescent="0.25">
      <c r="D14" s="3" t="s">
        <v>67</v>
      </c>
    </row>
    <row r="15" spans="1:11" x14ac:dyDescent="0.25">
      <c r="D15" s="3" t="s">
        <v>72</v>
      </c>
    </row>
    <row r="16" spans="1:11" x14ac:dyDescent="0.25">
      <c r="D16" s="3" t="s">
        <v>10</v>
      </c>
    </row>
    <row r="17" spans="3:15" x14ac:dyDescent="0.25">
      <c r="D17" s="3" t="s">
        <v>14</v>
      </c>
    </row>
    <row r="18" spans="3:15" x14ac:dyDescent="0.25">
      <c r="D18" s="3" t="s">
        <v>19</v>
      </c>
    </row>
    <row r="19" spans="3:15" x14ac:dyDescent="0.25">
      <c r="D19" s="3" t="s">
        <v>20</v>
      </c>
    </row>
    <row r="20" spans="3:15" x14ac:dyDescent="0.25">
      <c r="D20" s="3" t="s">
        <v>36</v>
      </c>
    </row>
    <row r="21" spans="3:15" x14ac:dyDescent="0.25">
      <c r="D21" s="3" t="s">
        <v>35</v>
      </c>
    </row>
    <row r="23" spans="3:15" x14ac:dyDescent="0.25">
      <c r="C23" s="2" t="s">
        <v>8</v>
      </c>
    </row>
    <row r="24" spans="3:15" x14ac:dyDescent="0.25">
      <c r="E24" s="8">
        <v>0.65</v>
      </c>
      <c r="F24" s="9" t="s">
        <v>11</v>
      </c>
      <c r="G24" s="9"/>
      <c r="H24" s="9"/>
      <c r="I24" s="9"/>
      <c r="J24" s="9"/>
    </row>
    <row r="25" spans="3:15" x14ac:dyDescent="0.25">
      <c r="E25" s="10">
        <v>3.5000000000000003E-2</v>
      </c>
      <c r="F25" s="9" t="s">
        <v>6</v>
      </c>
      <c r="G25" s="9"/>
      <c r="H25" s="9"/>
      <c r="I25" s="9"/>
      <c r="J25" s="9"/>
    </row>
    <row r="26" spans="3:15" x14ac:dyDescent="0.25">
      <c r="E26" s="8">
        <v>0.05</v>
      </c>
      <c r="F26" s="9" t="s">
        <v>9</v>
      </c>
      <c r="G26" s="9"/>
      <c r="H26" s="9"/>
      <c r="I26" s="9"/>
      <c r="J26" s="9"/>
    </row>
    <row r="27" spans="3:15" ht="12.6" customHeight="1" x14ac:dyDescent="0.25">
      <c r="E27" s="8">
        <v>0.15</v>
      </c>
      <c r="F27" s="9" t="s">
        <v>13</v>
      </c>
      <c r="O27" s="11"/>
    </row>
    <row r="28" spans="3:15" x14ac:dyDescent="0.25">
      <c r="E28" s="9"/>
      <c r="F28" s="9"/>
    </row>
    <row r="29" spans="3:15" ht="12.75" customHeight="1" x14ac:dyDescent="0.25">
      <c r="C29" s="2" t="s">
        <v>17</v>
      </c>
      <c r="E29" s="9"/>
      <c r="F29" s="9"/>
    </row>
    <row r="30" spans="3:15" ht="12.75" customHeight="1" x14ac:dyDescent="0.25">
      <c r="E30" s="12">
        <f>(H41/(NPV(DiscountRate,F41:F55)*(1+DiscountRate))/$E$24)</f>
        <v>451.96307684931026</v>
      </c>
      <c r="F30" s="9" t="s">
        <v>18</v>
      </c>
      <c r="L30" s="11"/>
    </row>
    <row r="31" spans="3:15" x14ac:dyDescent="0.25">
      <c r="E31" s="13">
        <f ca="1">SUM(F35:H35)/E35</f>
        <v>0.65</v>
      </c>
      <c r="F31" s="9" t="s">
        <v>31</v>
      </c>
    </row>
    <row r="32" spans="3:15" x14ac:dyDescent="0.25">
      <c r="E32" s="9"/>
      <c r="F32" s="9"/>
    </row>
    <row r="33" spans="3:33" x14ac:dyDescent="0.25">
      <c r="C33" s="2" t="s">
        <v>37</v>
      </c>
      <c r="D33" s="2"/>
      <c r="E33" s="2"/>
      <c r="F33" s="2"/>
      <c r="G33" s="2"/>
    </row>
    <row r="34" spans="3:33" ht="30" x14ac:dyDescent="0.25">
      <c r="E34" s="14" t="s">
        <v>38</v>
      </c>
      <c r="F34" s="14" t="str">
        <f>"PV Claims Paid (incurred t&lt;="&amp;$U$38&amp;")"</f>
        <v>PV Claims Paid (incurred t&lt;=0)</v>
      </c>
      <c r="G34" s="14" t="str">
        <f>"PV Claim Reserve (t="&amp;$U$38&amp;")"</f>
        <v>PV Claim Reserve (t=0)</v>
      </c>
      <c r="H34" s="14" t="str">
        <f>"PVF Claims Paid (incurred t&gt;"&amp;$U$38&amp;")"</f>
        <v>PVF Claims Paid (incurred t&gt;0)</v>
      </c>
      <c r="I34" s="14" t="s">
        <v>4</v>
      </c>
    </row>
    <row r="35" spans="3:33" x14ac:dyDescent="0.25">
      <c r="E35" s="15">
        <f>NPV(DiscountRate,J41:J$55)*(1+DiscountRate)</f>
        <v>3981460.330999488</v>
      </c>
      <c r="F35" s="16">
        <f ca="1">NPV(DiscountRate,T41:T$55)</f>
        <v>0</v>
      </c>
      <c r="G35" s="16">
        <f ca="1">NPV(DiscountRate,U41:U$55)</f>
        <v>0</v>
      </c>
      <c r="H35" s="16">
        <f ca="1">NPV(DiscountRate,V41:V$55)</f>
        <v>2587949.2151496671</v>
      </c>
      <c r="I35" s="16">
        <f ca="1">SUM(F35:H35)</f>
        <v>2587949.2151496671</v>
      </c>
    </row>
    <row r="36" spans="3:33" x14ac:dyDescent="0.25">
      <c r="E36" s="9"/>
      <c r="F36" s="9"/>
    </row>
    <row r="37" spans="3:33" ht="12.6" customHeight="1" x14ac:dyDescent="0.25">
      <c r="C37" s="2" t="s">
        <v>86</v>
      </c>
      <c r="E37" s="9"/>
      <c r="F37" s="9"/>
      <c r="N37" s="11"/>
      <c r="O37" s="17"/>
      <c r="R37" s="2"/>
    </row>
    <row r="38" spans="3:33" ht="12.6" customHeight="1" x14ac:dyDescent="0.25">
      <c r="C38" s="2"/>
      <c r="E38" s="9"/>
      <c r="F38" s="9"/>
      <c r="J38" s="116" t="s">
        <v>56</v>
      </c>
      <c r="K38" s="117"/>
      <c r="L38" s="117"/>
      <c r="M38" s="117"/>
      <c r="N38" s="118"/>
      <c r="O38" s="18"/>
      <c r="P38" s="116" t="s">
        <v>57</v>
      </c>
      <c r="Q38" s="117"/>
      <c r="R38" s="118"/>
      <c r="T38" s="19" t="s">
        <v>34</v>
      </c>
      <c r="U38" s="3">
        <v>0</v>
      </c>
      <c r="X38" s="2" t="s">
        <v>82</v>
      </c>
    </row>
    <row r="39" spans="3:33" ht="45" x14ac:dyDescent="0.25">
      <c r="E39" s="20" t="s">
        <v>3</v>
      </c>
      <c r="F39" s="20" t="s">
        <v>22</v>
      </c>
      <c r="G39" s="20" t="s">
        <v>29</v>
      </c>
      <c r="H39" s="20" t="s">
        <v>28</v>
      </c>
      <c r="I39" s="20" t="s">
        <v>30</v>
      </c>
      <c r="J39" s="20" t="s">
        <v>52</v>
      </c>
      <c r="K39" s="20" t="s">
        <v>53</v>
      </c>
      <c r="L39" s="20" t="s">
        <v>54</v>
      </c>
      <c r="M39" s="20" t="s">
        <v>55</v>
      </c>
      <c r="N39" s="20" t="s">
        <v>70</v>
      </c>
      <c r="O39" s="20" t="s">
        <v>71</v>
      </c>
      <c r="P39" s="20" t="s">
        <v>68</v>
      </c>
      <c r="Q39" s="20" t="s">
        <v>32</v>
      </c>
      <c r="R39" s="20" t="s">
        <v>33</v>
      </c>
      <c r="T39" s="20" t="str">
        <f>"Claims Paid (t&lt;="&amp;$U$38&amp;")"</f>
        <v>Claims Paid (t&lt;=0)</v>
      </c>
      <c r="U39" s="20" t="str">
        <f>"Claim Reserve (t="&amp;$U$38&amp;")"</f>
        <v>Claim Reserve (t=0)</v>
      </c>
      <c r="V39" s="20" t="str">
        <f>"Future Claims Paid (incurred t&gt;"&amp;$U$38&amp;")"</f>
        <v>Future Claims Paid (incurred t&gt;0)</v>
      </c>
      <c r="X39" s="21" t="s">
        <v>73</v>
      </c>
      <c r="Y39" s="22" t="s">
        <v>74</v>
      </c>
      <c r="Z39" s="21" t="s">
        <v>75</v>
      </c>
      <c r="AA39" s="22" t="s">
        <v>53</v>
      </c>
      <c r="AB39" s="23"/>
      <c r="AC39" s="24" t="s">
        <v>78</v>
      </c>
      <c r="AD39" s="24" t="s">
        <v>79</v>
      </c>
      <c r="AE39" s="24" t="s">
        <v>80</v>
      </c>
      <c r="AF39" s="24" t="s">
        <v>81</v>
      </c>
    </row>
    <row r="40" spans="3:33" x14ac:dyDescent="0.25">
      <c r="E40" s="25">
        <v>0</v>
      </c>
      <c r="F40" s="25"/>
      <c r="G40" s="25"/>
      <c r="H40" s="25"/>
      <c r="I40" s="25"/>
      <c r="J40" s="25"/>
      <c r="K40" s="25"/>
      <c r="L40" s="25"/>
      <c r="M40" s="25"/>
      <c r="N40" s="25"/>
      <c r="O40" s="25"/>
      <c r="P40" s="26"/>
      <c r="Q40" s="27"/>
      <c r="R40" s="27"/>
      <c r="T40" s="26"/>
      <c r="U40" s="27"/>
      <c r="V40" s="27"/>
      <c r="X40" s="22"/>
      <c r="Y40" s="22"/>
      <c r="Z40" s="28">
        <f>J40</f>
        <v>0</v>
      </c>
      <c r="AA40" s="28">
        <f>K40</f>
        <v>0</v>
      </c>
      <c r="AB40" s="23"/>
      <c r="AC40" s="23">
        <f>X40</f>
        <v>0</v>
      </c>
      <c r="AD40" s="29"/>
      <c r="AE40" s="23"/>
      <c r="AF40" s="23"/>
      <c r="AG40" s="23"/>
    </row>
    <row r="41" spans="3:33" x14ac:dyDescent="0.25">
      <c r="E41" s="30">
        <v>1</v>
      </c>
      <c r="F41" s="31">
        <v>1000</v>
      </c>
      <c r="G41" s="32">
        <f>NPV(DiscountRate,J41:J$55)*(1+DiscountRate)</f>
        <v>3981460.330999488</v>
      </c>
      <c r="H41" s="32">
        <f>NPV(DiscountRate,K41:K$55)</f>
        <v>2587949.2151496671</v>
      </c>
      <c r="I41" s="32">
        <f ca="1">NPV(DiscountRate,F78:$F$92)*(1+DiscountRate)</f>
        <v>2587949.2151496666</v>
      </c>
      <c r="J41" s="32">
        <f t="shared" ref="J41:J54" si="0">$E$30*F41</f>
        <v>451963.07684931025</v>
      </c>
      <c r="K41" s="32">
        <f t="shared" ref="K41:K55" si="1">HLOOKUP(E41,$G$77:$U$93,17,0)</f>
        <v>25000</v>
      </c>
      <c r="L41" s="32">
        <f t="shared" ref="L41:L55" si="2">($J41+P40)*DiscountRate</f>
        <v>15818.707689725861</v>
      </c>
      <c r="M41" s="32">
        <f ca="1">P41-P40</f>
        <v>279058.15995037323</v>
      </c>
      <c r="N41" s="32">
        <f ca="1">J41+L41-K41-M41</f>
        <v>163723.62458866287</v>
      </c>
      <c r="O41" s="33">
        <f t="shared" ref="O41:O55" ca="1" si="3">IFERROR((N41/(1+DiscountRate))/J41,0)</f>
        <v>0.35000000000000053</v>
      </c>
      <c r="P41" s="34">
        <f t="shared" ref="P41:P54" ca="1" si="4">H42-G42*NetPremiumRatio</f>
        <v>279058.15995037323</v>
      </c>
      <c r="Q41" s="32">
        <f t="shared" ref="Q41:Q54" ca="1" si="5">I42-G42*NetPremiumRatio</f>
        <v>216445.12562154746</v>
      </c>
      <c r="R41" s="32">
        <f t="shared" ref="R41:R55" si="6">HLOOKUP(E41,$G$96:$U$112,17,0)</f>
        <v>62613.034328825532</v>
      </c>
      <c r="T41" s="34">
        <f t="shared" ref="T41:T55" ca="1" si="7">IF(E41&lt;=$U$38,SUM(OFFSET($G$78,0,E41-1,U$38)),0)</f>
        <v>0</v>
      </c>
      <c r="U41" s="32">
        <f t="shared" ref="U41:U55" ca="1" si="8">IF(E41=$U$38,OFFSET($F$112,0,$U$38),0)</f>
        <v>0</v>
      </c>
      <c r="V41" s="32">
        <f t="shared" ref="V41:V55" ca="1" si="9">IF(E41&gt;$U$38,OFFSET($F$93,0,E41)-IFERROR(SUM(OFFSET($G$78,0,E41-1,U$38)),0),0)</f>
        <v>25000</v>
      </c>
      <c r="X41" s="22">
        <f t="shared" ref="X41:X55" si="10">E41</f>
        <v>1</v>
      </c>
      <c r="Y41" s="22">
        <f t="shared" ref="Y41:Y55" si="11">DiscountRate</f>
        <v>3.5000000000000003E-2</v>
      </c>
      <c r="Z41" s="28">
        <f t="shared" ref="Z41:Z55" si="12">J41</f>
        <v>451963.07684931025</v>
      </c>
      <c r="AA41" s="28">
        <f t="shared" ref="AA41:AA55" si="13">K41</f>
        <v>25000</v>
      </c>
      <c r="AC41" s="23">
        <f t="shared" ref="AC41:AC55" si="14">X41</f>
        <v>1</v>
      </c>
      <c r="AD41" s="35">
        <f>$AA$59*NPV(DiscountRate,Z42:$Z$55)*(1+DiscountRate)</f>
        <v>2374469.2777295322</v>
      </c>
      <c r="AE41" s="35">
        <f>NPV(DiscountRate,AA42:$AA$55)</f>
        <v>2653527.4376799054</v>
      </c>
      <c r="AF41" s="36">
        <f>AE41-AD41</f>
        <v>279058.15995037323</v>
      </c>
    </row>
    <row r="42" spans="3:33" x14ac:dyDescent="0.25">
      <c r="E42" s="30">
        <f>E41+1</f>
        <v>2</v>
      </c>
      <c r="F42" s="37">
        <f t="shared" ref="F42:F55" si="15">F41*(1-PolicyTerm)</f>
        <v>950</v>
      </c>
      <c r="G42" s="32">
        <f>NPV(DiscountRate,J42:J$55)*(1+DiscountRate)</f>
        <v>3653029.6580454339</v>
      </c>
      <c r="H42" s="32">
        <f>NPV(DiscountRate,K42:K$55)</f>
        <v>2653527.4376799054</v>
      </c>
      <c r="I42" s="32">
        <f ca="1">NPV(DiscountRate,F79:$F$92)*(1+DiscountRate)</f>
        <v>2590914.4033510797</v>
      </c>
      <c r="J42" s="32">
        <f t="shared" si="0"/>
        <v>429364.92300684477</v>
      </c>
      <c r="K42" s="32">
        <f t="shared" si="1"/>
        <v>56875</v>
      </c>
      <c r="L42" s="32">
        <f t="shared" ca="1" si="2"/>
        <v>24794.807903502631</v>
      </c>
      <c r="M42" s="32">
        <f t="shared" ref="M42:M55" ca="1" si="16">P42-P41</f>
        <v>241747.2875511176</v>
      </c>
      <c r="N42" s="32">
        <f t="shared" ref="N42:N55" ca="1" si="17">J42+L42-K42-M42</f>
        <v>155537.44335922983</v>
      </c>
      <c r="O42" s="33">
        <f t="shared" ca="1" si="3"/>
        <v>0.3500000000000007</v>
      </c>
      <c r="P42" s="34">
        <f t="shared" ca="1" si="4"/>
        <v>520805.44750149082</v>
      </c>
      <c r="Q42" s="32">
        <f t="shared" ca="1" si="5"/>
        <v>388027.38305258006</v>
      </c>
      <c r="R42" s="32">
        <f t="shared" si="6"/>
        <v>132778.06444891082</v>
      </c>
      <c r="T42" s="34">
        <f t="shared" ca="1" si="7"/>
        <v>0</v>
      </c>
      <c r="U42" s="32">
        <f t="shared" ca="1" si="8"/>
        <v>0</v>
      </c>
      <c r="V42" s="32">
        <f t="shared" ca="1" si="9"/>
        <v>56875</v>
      </c>
      <c r="X42" s="22">
        <f t="shared" si="10"/>
        <v>2</v>
      </c>
      <c r="Y42" s="22">
        <f t="shared" si="11"/>
        <v>3.5000000000000003E-2</v>
      </c>
      <c r="Z42" s="28">
        <f t="shared" si="12"/>
        <v>429364.92300684477</v>
      </c>
      <c r="AA42" s="28">
        <f t="shared" si="13"/>
        <v>56875</v>
      </c>
      <c r="AC42" s="23">
        <f t="shared" si="14"/>
        <v>2</v>
      </c>
      <c r="AD42" s="35">
        <f>$AA$59*NPV(DiscountRate,Z43:$Z$55)*(1+DiscountRate)</f>
        <v>2168720.450497211</v>
      </c>
      <c r="AE42" s="35">
        <f>NPV(DiscountRate,AA43:$AA$55)</f>
        <v>2689525.8979987018</v>
      </c>
      <c r="AF42" s="36">
        <f t="shared" ref="AF42:AF54" si="18">AE42-AD42</f>
        <v>520805.44750149082</v>
      </c>
    </row>
    <row r="43" spans="3:33" x14ac:dyDescent="0.25">
      <c r="E43" s="30">
        <f t="shared" ref="E43:E55" si="19">E42+1</f>
        <v>3</v>
      </c>
      <c r="F43" s="37">
        <f t="shared" si="15"/>
        <v>902.5</v>
      </c>
      <c r="G43" s="32">
        <f>NPV(DiscountRate,J43:J$55)*(1+DiscountRate)</f>
        <v>3336493.0007649395</v>
      </c>
      <c r="H43" s="32">
        <f>NPV(DiscountRate,K43:K$55)</f>
        <v>2689525.8979987018</v>
      </c>
      <c r="I43" s="32">
        <f ca="1">NPV(DiscountRate,F80:$F$92)*(1+DiscountRate)</f>
        <v>2556747.833549791</v>
      </c>
      <c r="J43" s="32">
        <f t="shared" si="0"/>
        <v>407896.67685650248</v>
      </c>
      <c r="K43" s="32">
        <f t="shared" si="1"/>
        <v>93468.75</v>
      </c>
      <c r="L43" s="32">
        <f t="shared" ca="1" si="2"/>
        <v>32504.574352529766</v>
      </c>
      <c r="M43" s="32">
        <f t="shared" ca="1" si="16"/>
        <v>199171.93001776468</v>
      </c>
      <c r="N43" s="32">
        <f t="shared" ca="1" si="17"/>
        <v>147760.57119126758</v>
      </c>
      <c r="O43" s="33">
        <f t="shared" ca="1" si="3"/>
        <v>0.34999999999999898</v>
      </c>
      <c r="P43" s="34">
        <f t="shared" ca="1" si="4"/>
        <v>719977.3775192555</v>
      </c>
      <c r="Q43" s="32">
        <f t="shared" ca="1" si="5"/>
        <v>517879.30385110201</v>
      </c>
      <c r="R43" s="32">
        <f t="shared" si="6"/>
        <v>202098.07366815279</v>
      </c>
      <c r="T43" s="34">
        <f t="shared" ca="1" si="7"/>
        <v>0</v>
      </c>
      <c r="U43" s="32">
        <f t="shared" ca="1" si="8"/>
        <v>0</v>
      </c>
      <c r="V43" s="32">
        <f t="shared" ca="1" si="9"/>
        <v>93468.75</v>
      </c>
      <c r="X43" s="22">
        <f t="shared" si="10"/>
        <v>3</v>
      </c>
      <c r="Y43" s="22">
        <f t="shared" si="11"/>
        <v>3.5000000000000003E-2</v>
      </c>
      <c r="Z43" s="28">
        <f t="shared" si="12"/>
        <v>407896.67685650248</v>
      </c>
      <c r="AA43" s="28">
        <f t="shared" si="13"/>
        <v>93468.75</v>
      </c>
      <c r="AC43" s="23">
        <f t="shared" si="14"/>
        <v>3</v>
      </c>
      <c r="AD43" s="35">
        <f>$AA$59*NPV(DiscountRate,Z44:$Z$55)*(1+DiscountRate)</f>
        <v>1970213.1769094013</v>
      </c>
      <c r="AE43" s="35">
        <f>NPV(DiscountRate,AA44:$AA$55)</f>
        <v>2690190.5544286566</v>
      </c>
      <c r="AF43" s="36">
        <f t="shared" si="18"/>
        <v>719977.37751925527</v>
      </c>
    </row>
    <row r="44" spans="3:33" x14ac:dyDescent="0.25">
      <c r="E44" s="30">
        <f t="shared" si="19"/>
        <v>4</v>
      </c>
      <c r="F44" s="37">
        <f t="shared" si="15"/>
        <v>857.375</v>
      </c>
      <c r="G44" s="32">
        <f>NPV(DiscountRate,J44:J$55)*(1+DiscountRate)</f>
        <v>3031097.1952452324</v>
      </c>
      <c r="H44" s="32">
        <f>NPV(DiscountRate,K44:K$55)</f>
        <v>2690190.5544286566</v>
      </c>
      <c r="I44" s="32">
        <f ca="1">NPV(DiscountRate,F81:$F$92)*(1+DiscountRate)</f>
        <v>2488092.4807605031</v>
      </c>
      <c r="J44" s="32">
        <f t="shared" si="0"/>
        <v>387501.8430136774</v>
      </c>
      <c r="K44" s="32">
        <f t="shared" si="1"/>
        <v>133034.375</v>
      </c>
      <c r="L44" s="32">
        <f t="shared" ca="1" si="2"/>
        <v>38761.772718652654</v>
      </c>
      <c r="M44" s="32">
        <f t="shared" ca="1" si="16"/>
        <v>152856.69810062484</v>
      </c>
      <c r="N44" s="32">
        <f t="shared" ca="1" si="17"/>
        <v>140372.54263170523</v>
      </c>
      <c r="O44" s="33">
        <f t="shared" ca="1" si="3"/>
        <v>0.35000000000000153</v>
      </c>
      <c r="P44" s="34">
        <f t="shared" ca="1" si="4"/>
        <v>872834.07561988034</v>
      </c>
      <c r="Q44" s="32">
        <f t="shared" ca="1" si="5"/>
        <v>608903.88110415009</v>
      </c>
      <c r="R44" s="32">
        <f t="shared" si="6"/>
        <v>263930.19451573008</v>
      </c>
      <c r="T44" s="34">
        <f t="shared" ca="1" si="7"/>
        <v>0</v>
      </c>
      <c r="U44" s="32">
        <f t="shared" ca="1" si="8"/>
        <v>0</v>
      </c>
      <c r="V44" s="32">
        <f t="shared" ca="1" si="9"/>
        <v>133034.375</v>
      </c>
      <c r="X44" s="22">
        <f t="shared" si="10"/>
        <v>4</v>
      </c>
      <c r="Y44" s="22">
        <f t="shared" si="11"/>
        <v>3.5000000000000003E-2</v>
      </c>
      <c r="Z44" s="28">
        <f t="shared" si="12"/>
        <v>387501.8430136774</v>
      </c>
      <c r="AA44" s="28">
        <f t="shared" si="13"/>
        <v>133034.375</v>
      </c>
      <c r="AC44" s="23">
        <f t="shared" si="14"/>
        <v>4</v>
      </c>
      <c r="AD44" s="35">
        <f>$AA$59*NPV(DiscountRate,Z45:$Z$55)*(1+DiscountRate)</f>
        <v>1778478.7732137782</v>
      </c>
      <c r="AE44" s="35">
        <f>NPV(DiscountRate,AA45:$AA$55)</f>
        <v>2651312.8488336587</v>
      </c>
      <c r="AF44" s="36">
        <f t="shared" si="18"/>
        <v>872834.07561988058</v>
      </c>
    </row>
    <row r="45" spans="3:33" x14ac:dyDescent="0.25">
      <c r="E45" s="30">
        <f t="shared" si="19"/>
        <v>5</v>
      </c>
      <c r="F45" s="37">
        <f t="shared" si="15"/>
        <v>814.50624999999991</v>
      </c>
      <c r="G45" s="32">
        <f>NPV(DiscountRate,J45:J$55)*(1+DiscountRate)</f>
        <v>2736121.189559659</v>
      </c>
      <c r="H45" s="32">
        <f>NPV(DiscountRate,K45:K$55)</f>
        <v>2651312.8488336587</v>
      </c>
      <c r="I45" s="32">
        <f ca="1">NPV(DiscountRate,F82:$F$92)*(1+DiscountRate)</f>
        <v>2387382.6543179285</v>
      </c>
      <c r="J45" s="32">
        <f t="shared" si="0"/>
        <v>368126.75086299347</v>
      </c>
      <c r="K45" s="32">
        <f t="shared" si="1"/>
        <v>174167.1875</v>
      </c>
      <c r="L45" s="32">
        <f t="shared" ca="1" si="2"/>
        <v>43433.628926900587</v>
      </c>
      <c r="M45" s="32">
        <f t="shared" ca="1" si="16"/>
        <v>104039.27678977465</v>
      </c>
      <c r="N45" s="32">
        <f t="shared" ca="1" si="17"/>
        <v>133353.91550011939</v>
      </c>
      <c r="O45" s="33">
        <f t="shared" ca="1" si="3"/>
        <v>0.35000000000000003</v>
      </c>
      <c r="P45" s="34">
        <f t="shared" ca="1" si="4"/>
        <v>976873.352409655</v>
      </c>
      <c r="Q45" s="32">
        <f t="shared" ca="1" si="5"/>
        <v>663788.69645899511</v>
      </c>
      <c r="R45" s="32">
        <f t="shared" si="6"/>
        <v>313084.65595065942</v>
      </c>
      <c r="T45" s="34">
        <f t="shared" ca="1" si="7"/>
        <v>0</v>
      </c>
      <c r="U45" s="32">
        <f t="shared" ca="1" si="8"/>
        <v>0</v>
      </c>
      <c r="V45" s="32">
        <f t="shared" ca="1" si="9"/>
        <v>174167.1875</v>
      </c>
      <c r="X45" s="22">
        <f t="shared" si="10"/>
        <v>5</v>
      </c>
      <c r="Y45" s="22">
        <f t="shared" si="11"/>
        <v>3.5000000000000003E-2</v>
      </c>
      <c r="Z45" s="28">
        <f t="shared" si="12"/>
        <v>368126.75086299347</v>
      </c>
      <c r="AA45" s="28">
        <f t="shared" si="13"/>
        <v>174167.1875</v>
      </c>
      <c r="AC45" s="23">
        <f t="shared" si="14"/>
        <v>5</v>
      </c>
      <c r="AD45" s="35">
        <f>$AA$59*NPV(DiscountRate,Z46:$Z$55)*(1+DiscountRate)</f>
        <v>1593068.2586331815</v>
      </c>
      <c r="AE45" s="35">
        <f>NPV(DiscountRate,AA46:$AA$55)</f>
        <v>2569941.6110428367</v>
      </c>
      <c r="AF45" s="36">
        <f t="shared" si="18"/>
        <v>976873.35240965523</v>
      </c>
    </row>
    <row r="46" spans="3:33" x14ac:dyDescent="0.25">
      <c r="E46" s="30">
        <f t="shared" si="19"/>
        <v>6</v>
      </c>
      <c r="F46" s="37">
        <f t="shared" si="15"/>
        <v>773.78093749999982</v>
      </c>
      <c r="G46" s="32">
        <f>NPV(DiscountRate,J46:J$55)*(1+DiscountRate)</f>
        <v>2450874.2440510485</v>
      </c>
      <c r="H46" s="32">
        <f>NPV(DiscountRate,K46:K$55)</f>
        <v>2569941.6110428367</v>
      </c>
      <c r="I46" s="32">
        <f ca="1">NPV(DiscountRate,F83:$F$92)*(1+DiscountRate)</f>
        <v>2256856.9550921768</v>
      </c>
      <c r="J46" s="32">
        <f t="shared" si="0"/>
        <v>349720.41331984376</v>
      </c>
      <c r="K46" s="32">
        <f t="shared" si="1"/>
        <v>204655.30859375</v>
      </c>
      <c r="L46" s="32">
        <f t="shared" ca="1" si="2"/>
        <v>46430.781800532466</v>
      </c>
      <c r="M46" s="32">
        <f t="shared" ca="1" si="16"/>
        <v>64809.666801512241</v>
      </c>
      <c r="N46" s="32">
        <f t="shared" ca="1" si="17"/>
        <v>126686.219725114</v>
      </c>
      <c r="O46" s="33">
        <f t="shared" ca="1" si="3"/>
        <v>0.3500000000000017</v>
      </c>
      <c r="P46" s="34">
        <f t="shared" ca="1" si="4"/>
        <v>1041683.0192111672</v>
      </c>
      <c r="Q46" s="32">
        <f t="shared" ca="1" si="5"/>
        <v>685019.17345536058</v>
      </c>
      <c r="R46" s="32">
        <f t="shared" si="6"/>
        <v>356663.84575580654</v>
      </c>
      <c r="T46" s="34">
        <f t="shared" ca="1" si="7"/>
        <v>0</v>
      </c>
      <c r="U46" s="32">
        <f t="shared" ca="1" si="8"/>
        <v>0</v>
      </c>
      <c r="V46" s="32">
        <f t="shared" ca="1" si="9"/>
        <v>204655.30859375</v>
      </c>
      <c r="X46" s="22">
        <f t="shared" si="10"/>
        <v>6</v>
      </c>
      <c r="Y46" s="22">
        <f t="shared" si="11"/>
        <v>3.5000000000000003E-2</v>
      </c>
      <c r="Z46" s="28">
        <f t="shared" si="12"/>
        <v>349720.41331984376</v>
      </c>
      <c r="AA46" s="28">
        <f t="shared" si="13"/>
        <v>204655.30859375</v>
      </c>
      <c r="AC46" s="23">
        <f t="shared" si="14"/>
        <v>6</v>
      </c>
      <c r="AD46" s="35">
        <f>$AA$59*NPV(DiscountRate,Z47:$Z$55)*(1+DiscountRate)</f>
        <v>1413551.2396244181</v>
      </c>
      <c r="AE46" s="35">
        <f>NPV(DiscountRate,AA47:$AA$55)</f>
        <v>2455234.2588355853</v>
      </c>
      <c r="AF46" s="36">
        <f t="shared" si="18"/>
        <v>1041683.0192111672</v>
      </c>
    </row>
    <row r="47" spans="3:33" x14ac:dyDescent="0.25">
      <c r="E47" s="30">
        <f t="shared" si="19"/>
        <v>7</v>
      </c>
      <c r="F47" s="37">
        <f t="shared" si="15"/>
        <v>735.09189062499979</v>
      </c>
      <c r="G47" s="32">
        <f>NPV(DiscountRate,J47:J$55)*(1+DiscountRate)</f>
        <v>2174694.214806797</v>
      </c>
      <c r="H47" s="32">
        <f>NPV(DiscountRate,K47:K$55)</f>
        <v>2455234.2588355853</v>
      </c>
      <c r="I47" s="32">
        <f ca="1">NPV(DiscountRate,F84:$F$92)*(1+DiscountRate)</f>
        <v>2098570.4130797787</v>
      </c>
      <c r="J47" s="32">
        <f t="shared" si="0"/>
        <v>332234.39265385154</v>
      </c>
      <c r="K47" s="32">
        <f t="shared" si="1"/>
        <v>231659.19960937498</v>
      </c>
      <c r="L47" s="32">
        <f t="shared" ca="1" si="2"/>
        <v>48087.109415275663</v>
      </c>
      <c r="M47" s="32">
        <f t="shared" ca="1" si="16"/>
        <v>28310.393720895052</v>
      </c>
      <c r="N47" s="32">
        <f t="shared" ca="1" si="17"/>
        <v>120351.90873885719</v>
      </c>
      <c r="O47" s="33">
        <f t="shared" ca="1" si="3"/>
        <v>0.34999999999999853</v>
      </c>
      <c r="P47" s="34">
        <f t="shared" ca="1" si="4"/>
        <v>1069993.4129320623</v>
      </c>
      <c r="Q47" s="32">
        <f t="shared" ca="1" si="5"/>
        <v>674891.0079915002</v>
      </c>
      <c r="R47" s="32">
        <f t="shared" si="6"/>
        <v>395102.40494056232</v>
      </c>
      <c r="T47" s="34">
        <f t="shared" ca="1" si="7"/>
        <v>0</v>
      </c>
      <c r="U47" s="32">
        <f t="shared" ca="1" si="8"/>
        <v>0</v>
      </c>
      <c r="V47" s="32">
        <f t="shared" ca="1" si="9"/>
        <v>231659.19960937498</v>
      </c>
      <c r="X47" s="22">
        <f t="shared" si="10"/>
        <v>7</v>
      </c>
      <c r="Y47" s="22">
        <f t="shared" si="11"/>
        <v>3.5000000000000003E-2</v>
      </c>
      <c r="Z47" s="28">
        <f t="shared" si="12"/>
        <v>332234.39265385154</v>
      </c>
      <c r="AA47" s="28">
        <f t="shared" si="13"/>
        <v>231659.19960937498</v>
      </c>
      <c r="AC47" s="23">
        <f t="shared" si="14"/>
        <v>7</v>
      </c>
      <c r="AD47" s="35">
        <f>$AA$59*NPV(DiscountRate,Z48:$Z$55)*(1+DiscountRate)</f>
        <v>1239514.8453533938</v>
      </c>
      <c r="AE47" s="35">
        <f>NPV(DiscountRate,AA48:$AA$55)</f>
        <v>2309508.2582854559</v>
      </c>
      <c r="AF47" s="36">
        <f t="shared" si="18"/>
        <v>1069993.4129320621</v>
      </c>
    </row>
    <row r="48" spans="3:33" x14ac:dyDescent="0.25">
      <c r="E48" s="30">
        <f t="shared" si="19"/>
        <v>8</v>
      </c>
      <c r="F48" s="37">
        <f t="shared" si="15"/>
        <v>698.33729609374973</v>
      </c>
      <c r="G48" s="32">
        <f>NPV(DiscountRate,J48:J$55)*(1+DiscountRate)</f>
        <v>1906945.9159282979</v>
      </c>
      <c r="H48" s="32">
        <f>NPV(DiscountRate,K48:K$55)</f>
        <v>2309508.2582854559</v>
      </c>
      <c r="I48" s="32">
        <f ca="1">NPV(DiscountRate,F85:$F$92)*(1+DiscountRate)</f>
        <v>1914405.8533448938</v>
      </c>
      <c r="J48" s="32">
        <f t="shared" si="0"/>
        <v>315622.67302115896</v>
      </c>
      <c r="K48" s="32">
        <f t="shared" si="1"/>
        <v>255451.06325195311</v>
      </c>
      <c r="L48" s="32">
        <f t="shared" ca="1" si="2"/>
        <v>48496.563008362747</v>
      </c>
      <c r="M48" s="32">
        <f t="shared" ca="1" si="16"/>
        <v>-5666.1405243463814</v>
      </c>
      <c r="N48" s="32">
        <f t="shared" ca="1" si="17"/>
        <v>114334.31330191495</v>
      </c>
      <c r="O48" s="33">
        <f t="shared" ca="1" si="3"/>
        <v>0.35000000000000037</v>
      </c>
      <c r="P48" s="34">
        <f t="shared" ca="1" si="4"/>
        <v>1064327.2724077159</v>
      </c>
      <c r="Q48" s="32">
        <f t="shared" ca="1" si="5"/>
        <v>635521.82381526264</v>
      </c>
      <c r="R48" s="32">
        <f t="shared" si="6"/>
        <v>428805.44859245291</v>
      </c>
      <c r="T48" s="34">
        <f t="shared" ca="1" si="7"/>
        <v>0</v>
      </c>
      <c r="U48" s="32">
        <f t="shared" ca="1" si="8"/>
        <v>0</v>
      </c>
      <c r="V48" s="32">
        <f t="shared" ca="1" si="9"/>
        <v>255451.06325195311</v>
      </c>
      <c r="X48" s="22">
        <f t="shared" si="10"/>
        <v>8</v>
      </c>
      <c r="Y48" s="22">
        <f t="shared" si="11"/>
        <v>3.5000000000000003E-2</v>
      </c>
      <c r="Z48" s="28">
        <f t="shared" si="12"/>
        <v>315622.67302115896</v>
      </c>
      <c r="AA48" s="28">
        <f t="shared" si="13"/>
        <v>255451.06325195311</v>
      </c>
      <c r="AC48" s="23">
        <f t="shared" si="14"/>
        <v>8</v>
      </c>
      <c r="AD48" s="35">
        <f>$AA$59*NPV(DiscountRate,Z49:$Z$55)*(1+DiscountRate)</f>
        <v>1070562.7116657777</v>
      </c>
      <c r="AE48" s="35">
        <f>NPV(DiscountRate,AA49:$AA$55)</f>
        <v>2134889.9840734936</v>
      </c>
      <c r="AF48" s="36">
        <f t="shared" si="18"/>
        <v>1064327.2724077159</v>
      </c>
    </row>
    <row r="49" spans="4:32" x14ac:dyDescent="0.25">
      <c r="E49" s="30">
        <f t="shared" si="19"/>
        <v>9</v>
      </c>
      <c r="F49" s="37">
        <f t="shared" si="15"/>
        <v>663.42043128906221</v>
      </c>
      <c r="G49" s="32">
        <f>NPV(DiscountRate,J49:J$55)*(1+DiscountRate)</f>
        <v>1647019.5564088889</v>
      </c>
      <c r="H49" s="32">
        <f>NPV(DiscountRate,K49:K$55)</f>
        <v>2134889.9840734936</v>
      </c>
      <c r="I49" s="32">
        <f ca="1">NPV(DiscountRate,F86:$F$92)*(1+DiscountRate)</f>
        <v>1706084.5354810404</v>
      </c>
      <c r="J49" s="32">
        <f t="shared" si="0"/>
        <v>299841.539370101</v>
      </c>
      <c r="K49" s="32">
        <f t="shared" si="1"/>
        <v>276284.59253124992</v>
      </c>
      <c r="L49" s="32">
        <f t="shared" ca="1" si="2"/>
        <v>47745.908412223594</v>
      </c>
      <c r="M49" s="32">
        <f t="shared" ca="1" si="16"/>
        <v>-37314.742385744583</v>
      </c>
      <c r="N49" s="32">
        <f t="shared" ca="1" si="17"/>
        <v>108617.59763681929</v>
      </c>
      <c r="O49" s="33">
        <f t="shared" ca="1" si="3"/>
        <v>0.3500000000000007</v>
      </c>
      <c r="P49" s="34">
        <f t="shared" ca="1" si="4"/>
        <v>1027012.5300219713</v>
      </c>
      <c r="Q49" s="32">
        <f t="shared" ca="1" si="5"/>
        <v>568862.09815516812</v>
      </c>
      <c r="R49" s="32">
        <f t="shared" si="6"/>
        <v>458150.43186680309</v>
      </c>
      <c r="T49" s="34">
        <f t="shared" ca="1" si="7"/>
        <v>0</v>
      </c>
      <c r="U49" s="32">
        <f t="shared" ca="1" si="8"/>
        <v>0</v>
      </c>
      <c r="V49" s="32">
        <f t="shared" ca="1" si="9"/>
        <v>276284.59253124992</v>
      </c>
      <c r="X49" s="22">
        <f t="shared" si="10"/>
        <v>9</v>
      </c>
      <c r="Y49" s="22">
        <f t="shared" si="11"/>
        <v>3.5000000000000003E-2</v>
      </c>
      <c r="Z49" s="28">
        <f t="shared" si="12"/>
        <v>299841.539370101</v>
      </c>
      <c r="AA49" s="28">
        <f t="shared" si="13"/>
        <v>276284.59253124992</v>
      </c>
      <c r="AC49" s="23">
        <f t="shared" si="14"/>
        <v>9</v>
      </c>
      <c r="AD49" s="35">
        <f>$AA$59*NPV(DiscountRate,Z50:$Z$55)*(1+DiscountRate)</f>
        <v>906314.01096284459</v>
      </c>
      <c r="AE49" s="35">
        <f>NPV(DiscountRate,AA50:$AA$55)</f>
        <v>1933326.5409848159</v>
      </c>
      <c r="AF49" s="36">
        <f t="shared" si="18"/>
        <v>1027012.5300219713</v>
      </c>
    </row>
    <row r="50" spans="4:32" x14ac:dyDescent="0.25">
      <c r="E50" s="30">
        <f t="shared" si="19"/>
        <v>10</v>
      </c>
      <c r="F50" s="37">
        <f t="shared" si="15"/>
        <v>630.24940972460911</v>
      </c>
      <c r="G50" s="32">
        <f>NPV(DiscountRate,J50:J$55)*(1+DiscountRate)</f>
        <v>1394329.2476351454</v>
      </c>
      <c r="H50" s="32">
        <f>NPV(DiscountRate,K50:K$55)</f>
        <v>1933326.5409848159</v>
      </c>
      <c r="I50" s="32">
        <f ca="1">NPV(DiscountRate,F87:$F$92)*(1+DiscountRate)</f>
        <v>1475176.1091180127</v>
      </c>
      <c r="J50" s="32">
        <f t="shared" si="0"/>
        <v>284849.46240159596</v>
      </c>
      <c r="K50" s="32">
        <f t="shared" si="1"/>
        <v>294396.14122448722</v>
      </c>
      <c r="L50" s="32">
        <f t="shared" ca="1" si="2"/>
        <v>45915.169734824856</v>
      </c>
      <c r="M50" s="32">
        <f t="shared" ca="1" si="16"/>
        <v>-66818.226843044744</v>
      </c>
      <c r="N50" s="32">
        <f t="shared" ca="1" si="17"/>
        <v>103186.71775497834</v>
      </c>
      <c r="O50" s="33">
        <f t="shared" ca="1" si="3"/>
        <v>0.3500000000000007</v>
      </c>
      <c r="P50" s="34">
        <f t="shared" ca="1" si="4"/>
        <v>960194.30317892658</v>
      </c>
      <c r="Q50" s="32">
        <f t="shared" ca="1" si="5"/>
        <v>476705.39998668933</v>
      </c>
      <c r="R50" s="32">
        <f t="shared" si="6"/>
        <v>483488.90319223714</v>
      </c>
      <c r="T50" s="34">
        <f t="shared" ca="1" si="7"/>
        <v>0</v>
      </c>
      <c r="U50" s="32">
        <f t="shared" ca="1" si="8"/>
        <v>0</v>
      </c>
      <c r="V50" s="32">
        <f t="shared" ca="1" si="9"/>
        <v>294396.14122448722</v>
      </c>
      <c r="X50" s="22">
        <f t="shared" si="10"/>
        <v>10</v>
      </c>
      <c r="Y50" s="22">
        <f t="shared" si="11"/>
        <v>3.5000000000000003E-2</v>
      </c>
      <c r="Z50" s="28">
        <f t="shared" si="12"/>
        <v>284849.46240159596</v>
      </c>
      <c r="AA50" s="28">
        <f t="shared" si="13"/>
        <v>294396.14122448722</v>
      </c>
      <c r="AC50" s="23">
        <f t="shared" si="14"/>
        <v>10</v>
      </c>
      <c r="AD50" s="35">
        <f>$AA$59*NPV(DiscountRate,Z51:$Z$55)*(1+DiscountRate)</f>
        <v>746402.52551587031</v>
      </c>
      <c r="AE50" s="35">
        <f>NPV(DiscountRate,AA51:$AA$55)</f>
        <v>1706596.8286947969</v>
      </c>
      <c r="AF50" s="36">
        <f t="shared" si="18"/>
        <v>960194.30317892658</v>
      </c>
    </row>
    <row r="51" spans="4:32" x14ac:dyDescent="0.25">
      <c r="E51" s="30">
        <f t="shared" si="19"/>
        <v>11</v>
      </c>
      <c r="F51" s="37">
        <f t="shared" si="15"/>
        <v>598.73693923837868</v>
      </c>
      <c r="G51" s="32">
        <f>NPV(DiscountRate,J51:J$55)*(1+DiscountRate)</f>
        <v>1148311.5777167236</v>
      </c>
      <c r="H51" s="32">
        <f>NPV(DiscountRate,K51:K$55)</f>
        <v>1706596.8286947969</v>
      </c>
      <c r="I51" s="32">
        <f ca="1">NPV(DiscountRate,F88:$F$92)*(1+DiscountRate)</f>
        <v>1223107.9255025596</v>
      </c>
      <c r="J51" s="32">
        <f t="shared" si="0"/>
        <v>270606.98928151617</v>
      </c>
      <c r="K51" s="32">
        <f t="shared" si="1"/>
        <v>310005.82356707269</v>
      </c>
      <c r="L51" s="32">
        <f t="shared" ca="1" si="2"/>
        <v>43078.045236115504</v>
      </c>
      <c r="M51" s="32">
        <f t="shared" ca="1" si="16"/>
        <v>-94348.170916670235</v>
      </c>
      <c r="N51" s="32">
        <f t="shared" ca="1" si="17"/>
        <v>98027.38186722924</v>
      </c>
      <c r="O51" s="33">
        <f t="shared" ca="1" si="3"/>
        <v>0.35000000000000003</v>
      </c>
      <c r="P51" s="34">
        <f t="shared" ca="1" si="4"/>
        <v>865846.13226225635</v>
      </c>
      <c r="Q51" s="32">
        <f t="shared" ca="1" si="5"/>
        <v>360697.98095679551</v>
      </c>
      <c r="R51" s="32">
        <f t="shared" si="6"/>
        <v>505148.15130546072</v>
      </c>
      <c r="T51" s="34">
        <f t="shared" ca="1" si="7"/>
        <v>0</v>
      </c>
      <c r="U51" s="32">
        <f t="shared" ca="1" si="8"/>
        <v>0</v>
      </c>
      <c r="V51" s="32">
        <f t="shared" ca="1" si="9"/>
        <v>310005.82356707269</v>
      </c>
      <c r="X51" s="22">
        <f t="shared" si="10"/>
        <v>11</v>
      </c>
      <c r="Y51" s="22">
        <f t="shared" si="11"/>
        <v>3.5000000000000003E-2</v>
      </c>
      <c r="Z51" s="28">
        <f t="shared" si="12"/>
        <v>270606.98928151617</v>
      </c>
      <c r="AA51" s="28">
        <f t="shared" si="13"/>
        <v>310005.82356707269</v>
      </c>
      <c r="AC51" s="23">
        <f t="shared" si="14"/>
        <v>11</v>
      </c>
      <c r="AD51" s="35">
        <f>$AA$59*NPV(DiscountRate,Z52:$Z$55)*(1+DiscountRate)</f>
        <v>590475.76186978573</v>
      </c>
      <c r="AE51" s="35">
        <f>NPV(DiscountRate,AA52:$AA$55)</f>
        <v>1456321.8941320421</v>
      </c>
      <c r="AF51" s="36">
        <f t="shared" si="18"/>
        <v>865846.13226225635</v>
      </c>
    </row>
    <row r="52" spans="4:32" x14ac:dyDescent="0.25">
      <c r="E52" s="30">
        <f t="shared" si="19"/>
        <v>12</v>
      </c>
      <c r="F52" s="37">
        <f t="shared" si="15"/>
        <v>568.80009227645974</v>
      </c>
      <c r="G52" s="32">
        <f>NPV(DiscountRate,J52:J$55)*(1+DiscountRate)</f>
        <v>908424.24903043953</v>
      </c>
      <c r="H52" s="32">
        <f>NPV(DiscountRate,K52:K$55)</f>
        <v>1456321.8941320421</v>
      </c>
      <c r="I52" s="32">
        <f ca="1">NPV(DiscountRate,F89:$F$92)*(1+DiscountRate)</f>
        <v>951173.74282658123</v>
      </c>
      <c r="J52" s="32">
        <f t="shared" si="0"/>
        <v>257076.63981744033</v>
      </c>
      <c r="K52" s="32">
        <f t="shared" si="1"/>
        <v>327584.54801441176</v>
      </c>
      <c r="L52" s="32">
        <f t="shared" ca="1" si="2"/>
        <v>39302.297022789389</v>
      </c>
      <c r="M52" s="32">
        <f t="shared" ca="1" si="16"/>
        <v>-124331.62394804973</v>
      </c>
      <c r="N52" s="32">
        <f t="shared" ca="1" si="17"/>
        <v>93126.012773867697</v>
      </c>
      <c r="O52" s="33">
        <f t="shared" ca="1" si="3"/>
        <v>0.34999999999999981</v>
      </c>
      <c r="P52" s="34">
        <f t="shared" ca="1" si="4"/>
        <v>741514.50831420661</v>
      </c>
      <c r="Q52" s="32">
        <f t="shared" ca="1" si="5"/>
        <v>251384.31817880098</v>
      </c>
      <c r="R52" s="32">
        <f t="shared" si="6"/>
        <v>490130.19013540552</v>
      </c>
      <c r="T52" s="34">
        <f t="shared" ca="1" si="7"/>
        <v>0</v>
      </c>
      <c r="U52" s="32">
        <f t="shared" ca="1" si="8"/>
        <v>0</v>
      </c>
      <c r="V52" s="32">
        <f t="shared" ca="1" si="9"/>
        <v>327584.54801441176</v>
      </c>
      <c r="X52" s="22">
        <f t="shared" si="10"/>
        <v>12</v>
      </c>
      <c r="Y52" s="22">
        <f t="shared" si="11"/>
        <v>3.5000000000000003E-2</v>
      </c>
      <c r="Z52" s="28">
        <f t="shared" si="12"/>
        <v>257076.63981744033</v>
      </c>
      <c r="AA52" s="28">
        <f t="shared" si="13"/>
        <v>327584.54801441176</v>
      </c>
      <c r="AC52" s="23">
        <f t="shared" si="14"/>
        <v>12</v>
      </c>
      <c r="AD52" s="35">
        <f>$AA$59*NPV(DiscountRate,Z53:$Z$55)*(1+DiscountRate)</f>
        <v>438194.10409804515</v>
      </c>
      <c r="AE52" s="35">
        <f>NPV(DiscountRate,AA53:$AA$55)</f>
        <v>1179708.6124122518</v>
      </c>
      <c r="AF52" s="36">
        <f t="shared" si="18"/>
        <v>741514.50831420661</v>
      </c>
    </row>
    <row r="53" spans="4:32" x14ac:dyDescent="0.25">
      <c r="E53" s="30">
        <f t="shared" si="19"/>
        <v>13</v>
      </c>
      <c r="F53" s="37">
        <f t="shared" si="15"/>
        <v>540.36008766263672</v>
      </c>
      <c r="G53" s="32">
        <f>NPV(DiscountRate,J53:J$55)*(1+DiscountRate)</f>
        <v>674144.77553545404</v>
      </c>
      <c r="H53" s="32">
        <f>NPV(DiscountRate,K53:K$55)</f>
        <v>1179708.6124122518</v>
      </c>
      <c r="I53" s="32">
        <f ca="1">NPV(DiscountRate,F90:$F$92)*(1+DiscountRate)</f>
        <v>689578.42227684613</v>
      </c>
      <c r="J53" s="32">
        <f t="shared" si="0"/>
        <v>244222.80782656831</v>
      </c>
      <c r="K53" s="32">
        <f t="shared" si="1"/>
        <v>357063.68779961445</v>
      </c>
      <c r="L53" s="32">
        <f t="shared" ca="1" si="2"/>
        <v>34500.806064927121</v>
      </c>
      <c r="M53" s="32">
        <f t="shared" ca="1" si="16"/>
        <v>-166809.78604329366</v>
      </c>
      <c r="N53" s="32">
        <f t="shared" ca="1" si="17"/>
        <v>88469.712135174661</v>
      </c>
      <c r="O53" s="33">
        <f t="shared" ca="1" si="3"/>
        <v>0.3500000000000012</v>
      </c>
      <c r="P53" s="34">
        <f t="shared" ca="1" si="4"/>
        <v>574704.72227091296</v>
      </c>
      <c r="Q53" s="32">
        <f t="shared" ca="1" si="5"/>
        <v>141280.57436217024</v>
      </c>
      <c r="R53" s="32">
        <f t="shared" si="6"/>
        <v>433424.14790874277</v>
      </c>
      <c r="T53" s="34">
        <f t="shared" ca="1" si="7"/>
        <v>0</v>
      </c>
      <c r="U53" s="32">
        <f t="shared" ca="1" si="8"/>
        <v>0</v>
      </c>
      <c r="V53" s="32">
        <f t="shared" ca="1" si="9"/>
        <v>357063.68779961445</v>
      </c>
      <c r="X53" s="22">
        <f t="shared" si="10"/>
        <v>13</v>
      </c>
      <c r="Y53" s="22">
        <f t="shared" si="11"/>
        <v>3.5000000000000003E-2</v>
      </c>
      <c r="Z53" s="28">
        <f t="shared" si="12"/>
        <v>244222.80782656831</v>
      </c>
      <c r="AA53" s="28">
        <f t="shared" si="13"/>
        <v>357063.68779961445</v>
      </c>
      <c r="AC53" s="23">
        <f t="shared" si="14"/>
        <v>13</v>
      </c>
      <c r="AD53" s="35">
        <f>$AA$59*NPV(DiscountRate,Z54:$Z$55)*(1+DiscountRate)</f>
        <v>289230.00377615291</v>
      </c>
      <c r="AE53" s="35">
        <f>NPV(DiscountRate,AA54:$AA$55)</f>
        <v>863934.72604706592</v>
      </c>
      <c r="AF53" s="36">
        <f t="shared" si="18"/>
        <v>574704.72227091296</v>
      </c>
    </row>
    <row r="54" spans="4:32" x14ac:dyDescent="0.25">
      <c r="E54" s="30">
        <f t="shared" si="19"/>
        <v>14</v>
      </c>
      <c r="F54" s="37">
        <f t="shared" si="15"/>
        <v>513.34208327950489</v>
      </c>
      <c r="G54" s="32">
        <f>NPV(DiscountRate,J54:J$55)*(1+DiscountRate)</f>
        <v>444969.23657869676</v>
      </c>
      <c r="H54" s="32">
        <f>NPV(DiscountRate,K54:K$55)</f>
        <v>863934.72604706592</v>
      </c>
      <c r="I54" s="32">
        <f ca="1">NPV(DiscountRate,F91:$F$92)*(1+DiscountRate)</f>
        <v>430510.57813832315</v>
      </c>
      <c r="J54" s="32">
        <f t="shared" si="0"/>
        <v>232011.66743523988</v>
      </c>
      <c r="K54" s="32">
        <f t="shared" si="1"/>
        <v>407877.81130853633</v>
      </c>
      <c r="L54" s="32">
        <f t="shared" ca="1" si="2"/>
        <v>28235.073639715352</v>
      </c>
      <c r="M54" s="32">
        <f t="shared" ca="1" si="16"/>
        <v>-231677.29676199675</v>
      </c>
      <c r="N54" s="32">
        <f t="shared" ca="1" si="17"/>
        <v>84046.22652841566</v>
      </c>
      <c r="O54" s="33">
        <f t="shared" ca="1" si="3"/>
        <v>0.35000000000000009</v>
      </c>
      <c r="P54" s="34">
        <f t="shared" ca="1" si="4"/>
        <v>343027.4255089162</v>
      </c>
      <c r="Q54" s="32">
        <f t="shared" ca="1" si="5"/>
        <v>45206.217239137273</v>
      </c>
      <c r="R54" s="32">
        <f t="shared" si="6"/>
        <v>297821.20826977893</v>
      </c>
      <c r="T54" s="34">
        <f t="shared" ca="1" si="7"/>
        <v>0</v>
      </c>
      <c r="U54" s="32">
        <f t="shared" ca="1" si="8"/>
        <v>0</v>
      </c>
      <c r="V54" s="32">
        <f t="shared" ca="1" si="9"/>
        <v>407877.81130853633</v>
      </c>
      <c r="X54" s="22">
        <f t="shared" si="10"/>
        <v>14</v>
      </c>
      <c r="Y54" s="22">
        <f t="shared" si="11"/>
        <v>3.5000000000000003E-2</v>
      </c>
      <c r="Z54" s="28">
        <f t="shared" si="12"/>
        <v>232011.66743523988</v>
      </c>
      <c r="AA54" s="28">
        <f t="shared" si="13"/>
        <v>407877.81130853633</v>
      </c>
      <c r="AC54" s="23">
        <f t="shared" si="14"/>
        <v>14</v>
      </c>
      <c r="AD54" s="35">
        <f>$AA$59*NPV(DiscountRate,Z55:$Z$55)*(1+DiscountRate)</f>
        <v>143267.20464126061</v>
      </c>
      <c r="AE54" s="35">
        <f>NPV(DiscountRate,AA55:$AA$55)</f>
        <v>486294.63015017682</v>
      </c>
      <c r="AF54" s="36">
        <f t="shared" si="18"/>
        <v>343027.4255089162</v>
      </c>
    </row>
    <row r="55" spans="4:32" x14ac:dyDescent="0.25">
      <c r="E55" s="38">
        <f t="shared" si="19"/>
        <v>15</v>
      </c>
      <c r="F55" s="39">
        <f t="shared" si="15"/>
        <v>487.6749791155296</v>
      </c>
      <c r="G55" s="40">
        <f>NPV(DiscountRate,J55:J$55)*(1+DiscountRate)</f>
        <v>220411.08406347787</v>
      </c>
      <c r="H55" s="40">
        <f>NPV(DiscountRate,K55:K$55)</f>
        <v>486294.63015017682</v>
      </c>
      <c r="I55" s="40">
        <f ca="1">NPV(DiscountRate,F92:$F$92)*(1+DiscountRate)</f>
        <v>188473.42188039789</v>
      </c>
      <c r="J55" s="40">
        <f t="shared" ref="J55" si="20">$E$30*F55</f>
        <v>220411.08406347787</v>
      </c>
      <c r="K55" s="40">
        <f t="shared" si="1"/>
        <v>503314.94220543298</v>
      </c>
      <c r="L55" s="40">
        <f t="shared" ca="1" si="2"/>
        <v>19720.347835033794</v>
      </c>
      <c r="M55" s="40">
        <f t="shared" ca="1" si="16"/>
        <v>-343027.4255089162</v>
      </c>
      <c r="N55" s="40">
        <f t="shared" ca="1" si="17"/>
        <v>79843.915201994881</v>
      </c>
      <c r="O55" s="41">
        <f t="shared" ca="1" si="3"/>
        <v>0.35000000000000014</v>
      </c>
      <c r="P55" s="42">
        <f ca="1">H57-G57*NetPremiumRatio</f>
        <v>0</v>
      </c>
      <c r="Q55" s="40">
        <f ca="1">I57-G57*NetPremiumRatio</f>
        <v>0</v>
      </c>
      <c r="R55" s="40">
        <f t="shared" si="6"/>
        <v>0</v>
      </c>
      <c r="T55" s="42">
        <f t="shared" ca="1" si="7"/>
        <v>0</v>
      </c>
      <c r="U55" s="40">
        <f t="shared" ca="1" si="8"/>
        <v>0</v>
      </c>
      <c r="V55" s="40">
        <f t="shared" ca="1" si="9"/>
        <v>503314.94220543298</v>
      </c>
      <c r="X55" s="22">
        <f t="shared" si="10"/>
        <v>15</v>
      </c>
      <c r="Y55" s="22">
        <f t="shared" si="11"/>
        <v>3.5000000000000003E-2</v>
      </c>
      <c r="Z55" s="28">
        <f t="shared" si="12"/>
        <v>220411.08406347787</v>
      </c>
      <c r="AA55" s="28">
        <f t="shared" si="13"/>
        <v>503314.94220543298</v>
      </c>
      <c r="AC55" s="23">
        <f t="shared" si="14"/>
        <v>15</v>
      </c>
      <c r="AD55" s="35"/>
      <c r="AE55" s="35"/>
      <c r="AF55" s="43">
        <f>AF54*(1+DiscountRate)+Z55*$AA$59*(1+DiscountRate)-AA55</f>
        <v>0</v>
      </c>
    </row>
    <row r="56" spans="4:32" x14ac:dyDescent="0.25">
      <c r="F56" s="44"/>
      <c r="G56" s="45"/>
      <c r="H56" s="45"/>
      <c r="I56" s="45"/>
      <c r="J56" s="45"/>
      <c r="K56" s="45"/>
      <c r="L56" s="45"/>
      <c r="M56" s="45"/>
      <c r="N56" s="45"/>
      <c r="O56" s="46"/>
      <c r="P56" s="16"/>
      <c r="Q56" s="45"/>
      <c r="R56" s="45"/>
      <c r="T56" s="16"/>
      <c r="U56" s="45"/>
      <c r="V56" s="45"/>
      <c r="X56" s="22"/>
      <c r="Y56" s="22"/>
      <c r="Z56" s="28"/>
      <c r="AA56" s="28"/>
      <c r="AC56" s="23"/>
      <c r="AD56" s="35"/>
      <c r="AE56" s="35"/>
      <c r="AF56" s="43"/>
    </row>
    <row r="57" spans="4:32" x14ac:dyDescent="0.25">
      <c r="F57" s="47"/>
      <c r="G57" s="47"/>
      <c r="H57" s="47"/>
      <c r="I57" s="47"/>
      <c r="J57" s="47"/>
      <c r="K57" s="47"/>
      <c r="L57" s="47"/>
      <c r="M57" s="47"/>
      <c r="N57" s="47"/>
      <c r="O57" s="47"/>
      <c r="P57" s="47"/>
      <c r="Q57" s="47"/>
      <c r="R57" s="47"/>
      <c r="S57" s="47"/>
      <c r="X57" s="48"/>
      <c r="Y57" s="48"/>
      <c r="Z57" s="48"/>
      <c r="AA57" s="48"/>
      <c r="AD57" s="35"/>
    </row>
    <row r="58" spans="4:32" x14ac:dyDescent="0.25">
      <c r="D58" s="2" t="s">
        <v>83</v>
      </c>
      <c r="G58" s="49" t="s">
        <v>16</v>
      </c>
      <c r="H58" s="50"/>
      <c r="X58" s="51" t="s">
        <v>76</v>
      </c>
      <c r="Y58" s="48"/>
      <c r="Z58" s="52">
        <f>NPV(DiscountRate,Z41:Z55)*(1+DiscountRate)</f>
        <v>3981460.330999488</v>
      </c>
      <c r="AA58" s="52">
        <f>NPV(DiscountRate,AA41:AA55)</f>
        <v>2587949.2151496671</v>
      </c>
    </row>
    <row r="59" spans="4:32" x14ac:dyDescent="0.25">
      <c r="E59" s="3" t="s">
        <v>12</v>
      </c>
      <c r="F59" s="53" t="s">
        <v>5</v>
      </c>
      <c r="G59" s="54">
        <v>1</v>
      </c>
      <c r="H59" s="54">
        <f>G59+1</f>
        <v>2</v>
      </c>
      <c r="I59" s="54">
        <f t="shared" ref="I59:T59" si="21">H59+1</f>
        <v>3</v>
      </c>
      <c r="J59" s="54">
        <f t="shared" si="21"/>
        <v>4</v>
      </c>
      <c r="K59" s="54">
        <f t="shared" si="21"/>
        <v>5</v>
      </c>
      <c r="L59" s="54">
        <f t="shared" si="21"/>
        <v>6</v>
      </c>
      <c r="M59" s="54">
        <f t="shared" si="21"/>
        <v>7</v>
      </c>
      <c r="N59" s="54">
        <f t="shared" si="21"/>
        <v>8</v>
      </c>
      <c r="O59" s="54">
        <f t="shared" si="21"/>
        <v>9</v>
      </c>
      <c r="P59" s="54">
        <f t="shared" si="21"/>
        <v>10</v>
      </c>
      <c r="Q59" s="54">
        <f t="shared" si="21"/>
        <v>11</v>
      </c>
      <c r="R59" s="54">
        <f t="shared" si="21"/>
        <v>12</v>
      </c>
      <c r="S59" s="54">
        <f t="shared" si="21"/>
        <v>13</v>
      </c>
      <c r="T59" s="54">
        <f t="shared" si="21"/>
        <v>14</v>
      </c>
      <c r="U59" s="54">
        <f t="shared" ref="U59" si="22">T59+1</f>
        <v>15</v>
      </c>
      <c r="X59" s="119" t="s">
        <v>77</v>
      </c>
      <c r="Y59" s="119"/>
      <c r="Z59" s="119"/>
      <c r="AA59" s="55">
        <f>AA58/Z58</f>
        <v>0.65</v>
      </c>
    </row>
    <row r="60" spans="4:32" x14ac:dyDescent="0.25">
      <c r="E60" s="3">
        <v>1</v>
      </c>
      <c r="F60" s="56">
        <f t="shared" ref="F60:F74" ca="1" si="23">NPV(DiscountRate,OFFSET(G60,0,E60-1,1,5))</f>
        <v>84.6502747138411</v>
      </c>
      <c r="G60" s="57">
        <v>25</v>
      </c>
      <c r="H60" s="35">
        <f>G60*(1-ClaimTerm)</f>
        <v>21.25</v>
      </c>
      <c r="I60" s="35">
        <f>H60*(1-ClaimTerm)</f>
        <v>18.0625</v>
      </c>
      <c r="J60" s="56">
        <f>I60*(1-ClaimTerm)</f>
        <v>15.353125</v>
      </c>
      <c r="K60" s="35">
        <f>J60*(1-ClaimTerm)</f>
        <v>13.050156250000001</v>
      </c>
      <c r="L60" s="35"/>
      <c r="M60" s="35"/>
      <c r="N60" s="35"/>
      <c r="O60" s="35"/>
      <c r="P60" s="35"/>
      <c r="Q60" s="35"/>
      <c r="R60" s="35"/>
      <c r="S60" s="35"/>
      <c r="T60" s="35"/>
      <c r="U60" s="35"/>
    </row>
    <row r="61" spans="4:32" x14ac:dyDescent="0.25">
      <c r="E61" s="3">
        <f>E60+1</f>
        <v>2</v>
      </c>
      <c r="F61" s="56">
        <f t="shared" ca="1" si="23"/>
        <v>126.97541207076164</v>
      </c>
      <c r="G61" s="35"/>
      <c r="H61" s="57">
        <v>37.5</v>
      </c>
      <c r="I61" s="35">
        <f>H61*(1-ClaimTerm)</f>
        <v>31.875</v>
      </c>
      <c r="J61" s="56">
        <f>I61*(1-ClaimTerm)</f>
        <v>27.09375</v>
      </c>
      <c r="K61" s="35">
        <f>J61*(1-ClaimTerm)</f>
        <v>23.029687499999998</v>
      </c>
      <c r="L61" s="35">
        <f>K61*(1-ClaimTerm)</f>
        <v>19.575234374999997</v>
      </c>
      <c r="M61" s="35"/>
      <c r="N61" s="35"/>
      <c r="O61" s="35"/>
      <c r="P61" s="35"/>
      <c r="Q61" s="35"/>
      <c r="R61" s="35"/>
      <c r="S61" s="35"/>
      <c r="T61" s="35"/>
      <c r="U61" s="35"/>
    </row>
    <row r="62" spans="4:32" x14ac:dyDescent="0.25">
      <c r="E62" s="3">
        <f t="shared" ref="E62:E74" si="24">E61+1</f>
        <v>3</v>
      </c>
      <c r="F62" s="56">
        <f t="shared" ca="1" si="23"/>
        <v>169.3005494276822</v>
      </c>
      <c r="G62" s="35"/>
      <c r="H62" s="35"/>
      <c r="I62" s="57">
        <v>50</v>
      </c>
      <c r="J62" s="56">
        <f>I62*(1-ClaimTerm)</f>
        <v>42.5</v>
      </c>
      <c r="K62" s="35">
        <f>J62*(1-ClaimTerm)</f>
        <v>36.125</v>
      </c>
      <c r="L62" s="35">
        <f>K62*(1-ClaimTerm)</f>
        <v>30.706250000000001</v>
      </c>
      <c r="M62" s="35">
        <f>L62*(1-ClaimTerm)</f>
        <v>26.100312500000001</v>
      </c>
      <c r="N62" s="35"/>
      <c r="O62" s="35"/>
      <c r="P62" s="35"/>
      <c r="Q62" s="35"/>
      <c r="R62" s="35"/>
      <c r="S62" s="35"/>
      <c r="T62" s="35"/>
      <c r="U62" s="35"/>
      <c r="V62" s="15"/>
    </row>
    <row r="63" spans="4:32" x14ac:dyDescent="0.25">
      <c r="E63" s="3">
        <f t="shared" si="24"/>
        <v>4</v>
      </c>
      <c r="F63" s="56">
        <f t="shared" ca="1" si="23"/>
        <v>211.62568678460275</v>
      </c>
      <c r="G63" s="35"/>
      <c r="H63" s="35"/>
      <c r="I63" s="35"/>
      <c r="J63" s="57">
        <v>62.5</v>
      </c>
      <c r="K63" s="35">
        <f>J63*(1-ClaimTerm)</f>
        <v>53.125</v>
      </c>
      <c r="L63" s="35">
        <f>K63*(1-ClaimTerm)</f>
        <v>45.15625</v>
      </c>
      <c r="M63" s="35">
        <f>L63*(1-ClaimTerm)</f>
        <v>38.3828125</v>
      </c>
      <c r="N63" s="35">
        <f>M63*(1-ClaimTerm)</f>
        <v>32.625390625000001</v>
      </c>
      <c r="O63" s="35"/>
      <c r="P63" s="35"/>
      <c r="Q63" s="35"/>
      <c r="R63" s="35"/>
      <c r="S63" s="35"/>
      <c r="T63" s="35"/>
      <c r="U63" s="35"/>
      <c r="V63" s="15"/>
      <c r="W63" s="15"/>
    </row>
    <row r="64" spans="4:32" x14ac:dyDescent="0.25">
      <c r="E64" s="3">
        <f t="shared" si="24"/>
        <v>5</v>
      </c>
      <c r="F64" s="56">
        <f t="shared" ca="1" si="23"/>
        <v>253.95082414152327</v>
      </c>
      <c r="G64" s="35"/>
      <c r="H64" s="35"/>
      <c r="I64" s="35"/>
      <c r="J64" s="35"/>
      <c r="K64" s="57">
        <v>75</v>
      </c>
      <c r="L64" s="35">
        <f>K64*(1-ClaimTerm)</f>
        <v>63.75</v>
      </c>
      <c r="M64" s="35">
        <f>L64*(1-ClaimTerm)</f>
        <v>54.1875</v>
      </c>
      <c r="N64" s="35">
        <f>M64*(1-ClaimTerm)</f>
        <v>46.059374999999996</v>
      </c>
      <c r="O64" s="35">
        <f>N64*(1-ClaimTerm)</f>
        <v>39.150468749999995</v>
      </c>
      <c r="P64" s="35"/>
      <c r="Q64" s="35"/>
      <c r="R64" s="35"/>
      <c r="S64" s="35"/>
      <c r="T64" s="35"/>
      <c r="U64" s="35"/>
      <c r="V64" s="15"/>
      <c r="W64" s="15"/>
      <c r="X64" s="15"/>
    </row>
    <row r="65" spans="4:29" x14ac:dyDescent="0.25">
      <c r="E65" s="3">
        <f t="shared" si="24"/>
        <v>6</v>
      </c>
      <c r="F65" s="56">
        <f t="shared" ca="1" si="23"/>
        <v>296.27596149844379</v>
      </c>
      <c r="G65" s="35"/>
      <c r="H65" s="35"/>
      <c r="I65" s="35"/>
      <c r="J65" s="35"/>
      <c r="K65" s="35"/>
      <c r="L65" s="57">
        <v>87.5</v>
      </c>
      <c r="M65" s="35">
        <f>L65*(1-ClaimTerm)</f>
        <v>74.375</v>
      </c>
      <c r="N65" s="35">
        <f>M65*(1-ClaimTerm)</f>
        <v>63.21875</v>
      </c>
      <c r="O65" s="35">
        <f>N65*(1-ClaimTerm)</f>
        <v>53.735937499999999</v>
      </c>
      <c r="P65" s="35">
        <f>O65*(1-ClaimTerm)</f>
        <v>45.675546874999995</v>
      </c>
      <c r="Q65" s="35"/>
      <c r="R65" s="35"/>
      <c r="S65" s="35"/>
      <c r="T65" s="35"/>
      <c r="U65" s="35"/>
      <c r="V65" s="15"/>
      <c r="W65" s="15"/>
      <c r="X65" s="15"/>
      <c r="Y65" s="15"/>
    </row>
    <row r="66" spans="4:29" x14ac:dyDescent="0.25">
      <c r="E66" s="3">
        <f t="shared" si="24"/>
        <v>7</v>
      </c>
      <c r="F66" s="56">
        <f t="shared" ca="1" si="23"/>
        <v>338.6010988553644</v>
      </c>
      <c r="G66" s="35"/>
      <c r="H66" s="35"/>
      <c r="I66" s="35"/>
      <c r="J66" s="35"/>
      <c r="K66" s="35"/>
      <c r="L66" s="35"/>
      <c r="M66" s="57">
        <v>100</v>
      </c>
      <c r="N66" s="35">
        <f>M66*(1-ClaimTerm)</f>
        <v>85</v>
      </c>
      <c r="O66" s="35">
        <f>N66*(1-ClaimTerm)</f>
        <v>72.25</v>
      </c>
      <c r="P66" s="35">
        <f>O66*(1-ClaimTerm)</f>
        <v>61.412500000000001</v>
      </c>
      <c r="Q66" s="35">
        <f>P66*(1-ClaimTerm)</f>
        <v>52.200625000000002</v>
      </c>
      <c r="R66" s="35"/>
      <c r="S66" s="35"/>
      <c r="T66" s="35"/>
      <c r="U66" s="35"/>
      <c r="V66" s="15"/>
      <c r="W66" s="15"/>
      <c r="X66" s="15"/>
      <c r="Y66" s="15"/>
      <c r="Z66" s="15"/>
    </row>
    <row r="67" spans="4:29" x14ac:dyDescent="0.25">
      <c r="E67" s="3">
        <f t="shared" si="24"/>
        <v>8</v>
      </c>
      <c r="F67" s="56">
        <f t="shared" ca="1" si="23"/>
        <v>380.926236212285</v>
      </c>
      <c r="G67" s="35"/>
      <c r="H67" s="35"/>
      <c r="I67" s="35"/>
      <c r="J67" s="35"/>
      <c r="K67" s="35"/>
      <c r="L67" s="35"/>
      <c r="M67" s="35"/>
      <c r="N67" s="57">
        <v>112.5</v>
      </c>
      <c r="O67" s="35">
        <f>N67*(1-ClaimTerm)</f>
        <v>95.625</v>
      </c>
      <c r="P67" s="35">
        <f>O67*(1-ClaimTerm)</f>
        <v>81.28125</v>
      </c>
      <c r="Q67" s="35">
        <f>P67*(1-ClaimTerm)</f>
        <v>69.089062499999997</v>
      </c>
      <c r="R67" s="35">
        <f>Q67*(1-ClaimTerm)</f>
        <v>58.725703124999995</v>
      </c>
      <c r="S67" s="35"/>
      <c r="T67" s="35"/>
      <c r="U67" s="35"/>
      <c r="V67" s="15"/>
      <c r="W67" s="15"/>
      <c r="X67" s="15"/>
      <c r="Y67" s="15"/>
      <c r="Z67" s="15"/>
      <c r="AA67" s="15"/>
    </row>
    <row r="68" spans="4:29" x14ac:dyDescent="0.25">
      <c r="E68" s="3">
        <f t="shared" si="24"/>
        <v>9</v>
      </c>
      <c r="F68" s="56">
        <f t="shared" ca="1" si="23"/>
        <v>423.2513735692055</v>
      </c>
      <c r="G68" s="35"/>
      <c r="H68" s="35"/>
      <c r="I68" s="35"/>
      <c r="J68" s="35"/>
      <c r="K68" s="35"/>
      <c r="L68" s="35"/>
      <c r="M68" s="35"/>
      <c r="N68" s="35"/>
      <c r="O68" s="57">
        <v>125</v>
      </c>
      <c r="P68" s="35">
        <f>O68*(1-ClaimTerm)</f>
        <v>106.25</v>
      </c>
      <c r="Q68" s="35">
        <f>P68*(1-ClaimTerm)</f>
        <v>90.3125</v>
      </c>
      <c r="R68" s="35">
        <f>Q68*(1-ClaimTerm)</f>
        <v>76.765625</v>
      </c>
      <c r="S68" s="35">
        <f>R68*(1-ClaimTerm)</f>
        <v>65.250781250000003</v>
      </c>
      <c r="T68" s="35"/>
      <c r="U68" s="35"/>
      <c r="V68" s="15"/>
      <c r="W68" s="15"/>
      <c r="X68" s="15"/>
      <c r="Y68" s="15"/>
      <c r="Z68" s="15"/>
      <c r="AA68" s="15"/>
      <c r="AB68" s="15"/>
    </row>
    <row r="69" spans="4:29" x14ac:dyDescent="0.25">
      <c r="E69" s="3">
        <f t="shared" si="24"/>
        <v>10</v>
      </c>
      <c r="F69" s="56">
        <f t="shared" ca="1" si="23"/>
        <v>465.57651092612616</v>
      </c>
      <c r="G69" s="35"/>
      <c r="H69" s="35"/>
      <c r="I69" s="35"/>
      <c r="J69" s="35"/>
      <c r="K69" s="35"/>
      <c r="L69" s="35"/>
      <c r="M69" s="35"/>
      <c r="N69" s="35"/>
      <c r="O69" s="35"/>
      <c r="P69" s="57">
        <v>137.50000000000006</v>
      </c>
      <c r="Q69" s="35">
        <f>P69*(1-ClaimTerm)</f>
        <v>116.87500000000004</v>
      </c>
      <c r="R69" s="35">
        <f>Q69*(1-ClaimTerm)</f>
        <v>99.343750000000028</v>
      </c>
      <c r="S69" s="35">
        <f>R69*(1-ClaimTerm)</f>
        <v>84.442187500000017</v>
      </c>
      <c r="T69" s="35">
        <f>S69*(1-ClaimTerm)</f>
        <v>71.77585937500001</v>
      </c>
      <c r="U69" s="35"/>
      <c r="V69" s="15"/>
      <c r="W69" s="15"/>
      <c r="X69" s="15"/>
      <c r="Y69" s="15"/>
      <c r="Z69" s="15"/>
      <c r="AA69" s="15"/>
      <c r="AB69" s="15"/>
      <c r="AC69" s="15"/>
    </row>
    <row r="70" spans="4:29" x14ac:dyDescent="0.25">
      <c r="E70" s="3">
        <f t="shared" si="24"/>
        <v>11</v>
      </c>
      <c r="F70" s="56">
        <f t="shared" ca="1" si="23"/>
        <v>507.90164828304654</v>
      </c>
      <c r="G70" s="35"/>
      <c r="H70" s="35"/>
      <c r="I70" s="35"/>
      <c r="J70" s="35"/>
      <c r="K70" s="35"/>
      <c r="L70" s="35"/>
      <c r="M70" s="35"/>
      <c r="N70" s="35"/>
      <c r="O70" s="35"/>
      <c r="P70" s="35"/>
      <c r="Q70" s="57">
        <v>150</v>
      </c>
      <c r="R70" s="35">
        <f>Q70*(1-ClaimTerm)</f>
        <v>127.5</v>
      </c>
      <c r="S70" s="35">
        <f>R70*(1-ClaimTerm)</f>
        <v>108.375</v>
      </c>
      <c r="T70" s="35">
        <f>S70*(1-ClaimTerm)</f>
        <v>92.118749999999991</v>
      </c>
      <c r="U70" s="35">
        <f>T70*(1-ClaimTerm)</f>
        <v>78.300937499999989</v>
      </c>
      <c r="V70" s="15"/>
      <c r="W70" s="15"/>
      <c r="X70" s="15"/>
      <c r="Y70" s="15"/>
      <c r="Z70" s="15"/>
      <c r="AA70" s="15"/>
      <c r="AB70" s="15"/>
      <c r="AC70" s="15"/>
    </row>
    <row r="71" spans="4:29" x14ac:dyDescent="0.25">
      <c r="E71" s="3">
        <f t="shared" si="24"/>
        <v>12</v>
      </c>
      <c r="F71" s="56">
        <f t="shared" ca="1" si="23"/>
        <v>500.90427463060422</v>
      </c>
      <c r="G71" s="35"/>
      <c r="H71" s="35"/>
      <c r="I71" s="35"/>
      <c r="J71" s="35"/>
      <c r="K71" s="35"/>
      <c r="L71" s="35"/>
      <c r="M71" s="35"/>
      <c r="N71" s="35"/>
      <c r="O71" s="35"/>
      <c r="P71" s="35"/>
      <c r="Q71" s="35"/>
      <c r="R71" s="57">
        <v>170</v>
      </c>
      <c r="S71" s="35">
        <f>R71*(1-ClaimTerm)</f>
        <v>144.5</v>
      </c>
      <c r="T71" s="35">
        <f>S71*(1-ClaimTerm)</f>
        <v>122.825</v>
      </c>
      <c r="U71" s="35">
        <f>T71*(1-ClaimTerm)</f>
        <v>104.40125</v>
      </c>
      <c r="V71" s="15"/>
      <c r="W71" s="15"/>
      <c r="X71" s="15"/>
      <c r="Y71" s="15"/>
      <c r="Z71" s="15"/>
      <c r="AA71" s="15"/>
      <c r="AB71" s="15"/>
      <c r="AC71" s="15"/>
    </row>
    <row r="72" spans="4:29" x14ac:dyDescent="0.25">
      <c r="E72" s="3">
        <f t="shared" si="24"/>
        <v>13</v>
      </c>
      <c r="F72" s="56">
        <f t="shared" ca="1" si="23"/>
        <v>506.37746775752123</v>
      </c>
      <c r="G72" s="35"/>
      <c r="H72" s="35"/>
      <c r="I72" s="35"/>
      <c r="J72" s="35"/>
      <c r="K72" s="35"/>
      <c r="L72" s="35"/>
      <c r="M72" s="35"/>
      <c r="N72" s="35"/>
      <c r="O72" s="35"/>
      <c r="P72" s="35"/>
      <c r="Q72" s="35"/>
      <c r="R72" s="35"/>
      <c r="S72" s="57">
        <v>210</v>
      </c>
      <c r="T72" s="35">
        <f>S72*(1-ClaimTerm)</f>
        <v>178.5</v>
      </c>
      <c r="U72" s="35">
        <f>T72*(1-ClaimTerm)</f>
        <v>151.72499999999999</v>
      </c>
      <c r="V72" s="15"/>
      <c r="W72" s="15"/>
      <c r="X72" s="15"/>
      <c r="Y72" s="15"/>
      <c r="Z72" s="15"/>
      <c r="AA72" s="15"/>
      <c r="AB72" s="15"/>
      <c r="AC72" s="15"/>
    </row>
    <row r="73" spans="4:29" x14ac:dyDescent="0.25">
      <c r="E73" s="3">
        <f t="shared" si="24"/>
        <v>14</v>
      </c>
      <c r="F73" s="56">
        <f t="shared" ca="1" si="23"/>
        <v>483.90860930243417</v>
      </c>
      <c r="G73" s="35"/>
      <c r="H73" s="35"/>
      <c r="I73" s="35"/>
      <c r="J73" s="35"/>
      <c r="K73" s="35"/>
      <c r="L73" s="35"/>
      <c r="M73" s="35"/>
      <c r="N73" s="35"/>
      <c r="O73" s="35"/>
      <c r="P73" s="35"/>
      <c r="Q73" s="35"/>
      <c r="R73" s="35"/>
      <c r="S73" s="35"/>
      <c r="T73" s="57">
        <v>275</v>
      </c>
      <c r="U73" s="35">
        <f>T73*(1-ClaimTerm)</f>
        <v>233.75</v>
      </c>
      <c r="V73" s="15"/>
      <c r="W73" s="15"/>
      <c r="X73" s="15"/>
      <c r="Y73" s="15"/>
      <c r="Z73" s="15"/>
      <c r="AA73" s="15"/>
      <c r="AB73" s="15"/>
      <c r="AC73" s="15"/>
    </row>
    <row r="74" spans="4:29" x14ac:dyDescent="0.25">
      <c r="E74" s="3">
        <f t="shared" si="24"/>
        <v>15</v>
      </c>
      <c r="F74" s="56">
        <f t="shared" ca="1" si="23"/>
        <v>386.47342995169083</v>
      </c>
      <c r="G74" s="35"/>
      <c r="H74" s="35"/>
      <c r="I74" s="35"/>
      <c r="J74" s="35"/>
      <c r="K74" s="35"/>
      <c r="L74" s="35"/>
      <c r="M74" s="35"/>
      <c r="N74" s="35"/>
      <c r="O74" s="35"/>
      <c r="P74" s="35"/>
      <c r="Q74" s="35"/>
      <c r="R74" s="35"/>
      <c r="S74" s="35"/>
      <c r="T74" s="35"/>
      <c r="U74" s="57">
        <v>400</v>
      </c>
      <c r="V74" s="15"/>
      <c r="W74" s="15"/>
      <c r="X74" s="15"/>
      <c r="Y74" s="15"/>
      <c r="Z74" s="15"/>
      <c r="AA74" s="15"/>
      <c r="AB74" s="15"/>
      <c r="AC74" s="15"/>
    </row>
    <row r="75" spans="4:29" x14ac:dyDescent="0.25">
      <c r="F75" s="15"/>
      <c r="G75" s="58"/>
      <c r="H75" s="58"/>
      <c r="I75" s="58"/>
      <c r="J75" s="58"/>
      <c r="K75" s="58"/>
      <c r="L75" s="58"/>
      <c r="M75" s="58"/>
      <c r="N75" s="58"/>
      <c r="O75" s="58"/>
      <c r="P75" s="58"/>
      <c r="Q75" s="58"/>
      <c r="R75" s="58"/>
      <c r="S75" s="58"/>
      <c r="T75" s="58"/>
    </row>
    <row r="76" spans="4:29" x14ac:dyDescent="0.25">
      <c r="D76" s="2" t="s">
        <v>84</v>
      </c>
      <c r="F76" s="15"/>
      <c r="G76" s="49" t="s">
        <v>16</v>
      </c>
      <c r="H76" s="58"/>
      <c r="I76" s="58"/>
      <c r="J76" s="58"/>
      <c r="K76" s="58"/>
      <c r="L76" s="58"/>
      <c r="M76" s="58"/>
      <c r="N76" s="58"/>
      <c r="O76" s="58"/>
      <c r="P76" s="58"/>
      <c r="Q76" s="58"/>
      <c r="R76" s="58"/>
      <c r="S76" s="58"/>
      <c r="T76" s="58"/>
    </row>
    <row r="77" spans="4:29" x14ac:dyDescent="0.25">
      <c r="E77" s="48" t="s">
        <v>12</v>
      </c>
      <c r="F77" s="59" t="s">
        <v>5</v>
      </c>
      <c r="G77" s="60">
        <v>1</v>
      </c>
      <c r="H77" s="60">
        <f>G77+1</f>
        <v>2</v>
      </c>
      <c r="I77" s="60">
        <f t="shared" ref="I77" si="25">H77+1</f>
        <v>3</v>
      </c>
      <c r="J77" s="60">
        <f t="shared" ref="J77" si="26">I77+1</f>
        <v>4</v>
      </c>
      <c r="K77" s="60">
        <f t="shared" ref="K77" si="27">J77+1</f>
        <v>5</v>
      </c>
      <c r="L77" s="60">
        <f t="shared" ref="L77" si="28">K77+1</f>
        <v>6</v>
      </c>
      <c r="M77" s="60">
        <f t="shared" ref="M77" si="29">L77+1</f>
        <v>7</v>
      </c>
      <c r="N77" s="60">
        <f t="shared" ref="N77" si="30">M77+1</f>
        <v>8</v>
      </c>
      <c r="O77" s="60">
        <f t="shared" ref="O77" si="31">N77+1</f>
        <v>9</v>
      </c>
      <c r="P77" s="60">
        <f t="shared" ref="P77" si="32">O77+1</f>
        <v>10</v>
      </c>
      <c r="Q77" s="60">
        <f t="shared" ref="Q77" si="33">P77+1</f>
        <v>11</v>
      </c>
      <c r="R77" s="60">
        <f t="shared" ref="R77" si="34">Q77+1</f>
        <v>12</v>
      </c>
      <c r="S77" s="60">
        <f t="shared" ref="S77" si="35">R77+1</f>
        <v>13</v>
      </c>
      <c r="T77" s="60">
        <f t="shared" ref="T77" si="36">S77+1</f>
        <v>14</v>
      </c>
      <c r="U77" s="60">
        <f t="shared" ref="U77" si="37">T77+1</f>
        <v>15</v>
      </c>
    </row>
    <row r="78" spans="4:29" x14ac:dyDescent="0.25">
      <c r="E78" s="52">
        <v>1</v>
      </c>
      <c r="F78" s="61">
        <f t="shared" ref="F78:U78" ca="1" si="38">F60*$F41</f>
        <v>84650.274713841092</v>
      </c>
      <c r="G78" s="52">
        <f t="shared" si="38"/>
        <v>25000</v>
      </c>
      <c r="H78" s="52">
        <f t="shared" si="38"/>
        <v>21250</v>
      </c>
      <c r="I78" s="52">
        <f t="shared" si="38"/>
        <v>18062.5</v>
      </c>
      <c r="J78" s="52">
        <f t="shared" si="38"/>
        <v>15353.125</v>
      </c>
      <c r="K78" s="52">
        <f t="shared" si="38"/>
        <v>13050.15625</v>
      </c>
      <c r="L78" s="52">
        <f t="shared" si="38"/>
        <v>0</v>
      </c>
      <c r="M78" s="52">
        <f t="shared" si="38"/>
        <v>0</v>
      </c>
      <c r="N78" s="52">
        <f t="shared" si="38"/>
        <v>0</v>
      </c>
      <c r="O78" s="52">
        <f t="shared" si="38"/>
        <v>0</v>
      </c>
      <c r="P78" s="52">
        <f t="shared" si="38"/>
        <v>0</v>
      </c>
      <c r="Q78" s="52">
        <f t="shared" si="38"/>
        <v>0</v>
      </c>
      <c r="R78" s="52">
        <f t="shared" si="38"/>
        <v>0</v>
      </c>
      <c r="S78" s="52">
        <f t="shared" si="38"/>
        <v>0</v>
      </c>
      <c r="T78" s="52">
        <f t="shared" si="38"/>
        <v>0</v>
      </c>
      <c r="U78" s="52">
        <f t="shared" si="38"/>
        <v>0</v>
      </c>
    </row>
    <row r="79" spans="4:29" x14ac:dyDescent="0.25">
      <c r="E79" s="52">
        <f>E78+1</f>
        <v>2</v>
      </c>
      <c r="F79" s="61">
        <f t="shared" ref="F79:U79" ca="1" si="39">F61*$F42</f>
        <v>120626.64146722356</v>
      </c>
      <c r="G79" s="52">
        <f t="shared" si="39"/>
        <v>0</v>
      </c>
      <c r="H79" s="52">
        <f t="shared" si="39"/>
        <v>35625</v>
      </c>
      <c r="I79" s="52">
        <f t="shared" si="39"/>
        <v>30281.25</v>
      </c>
      <c r="J79" s="52">
        <f t="shared" si="39"/>
        <v>25739.0625</v>
      </c>
      <c r="K79" s="52">
        <f t="shared" si="39"/>
        <v>21878.203124999996</v>
      </c>
      <c r="L79" s="52">
        <f t="shared" si="39"/>
        <v>18596.472656249996</v>
      </c>
      <c r="M79" s="52">
        <f t="shared" si="39"/>
        <v>0</v>
      </c>
      <c r="N79" s="52">
        <f t="shared" si="39"/>
        <v>0</v>
      </c>
      <c r="O79" s="52">
        <f t="shared" si="39"/>
        <v>0</v>
      </c>
      <c r="P79" s="52">
        <f t="shared" si="39"/>
        <v>0</v>
      </c>
      <c r="Q79" s="52">
        <f t="shared" si="39"/>
        <v>0</v>
      </c>
      <c r="R79" s="52">
        <f t="shared" si="39"/>
        <v>0</v>
      </c>
      <c r="S79" s="52">
        <f t="shared" si="39"/>
        <v>0</v>
      </c>
      <c r="T79" s="52">
        <f t="shared" si="39"/>
        <v>0</v>
      </c>
      <c r="U79" s="52">
        <f t="shared" si="39"/>
        <v>0</v>
      </c>
    </row>
    <row r="80" spans="4:29" x14ac:dyDescent="0.25">
      <c r="E80" s="52">
        <f t="shared" ref="E80:E92" si="40">E79+1</f>
        <v>3</v>
      </c>
      <c r="F80" s="61">
        <f t="shared" ref="F80:U80" ca="1" si="41">F62*$F43</f>
        <v>152793.74585848319</v>
      </c>
      <c r="G80" s="52">
        <f t="shared" si="41"/>
        <v>0</v>
      </c>
      <c r="H80" s="52">
        <f t="shared" si="41"/>
        <v>0</v>
      </c>
      <c r="I80" s="52">
        <f t="shared" si="41"/>
        <v>45125</v>
      </c>
      <c r="J80" s="52">
        <f t="shared" si="41"/>
        <v>38356.25</v>
      </c>
      <c r="K80" s="52">
        <f t="shared" si="41"/>
        <v>32602.8125</v>
      </c>
      <c r="L80" s="52">
        <f t="shared" si="41"/>
        <v>27712.390625</v>
      </c>
      <c r="M80" s="52">
        <f t="shared" si="41"/>
        <v>23555.532031250001</v>
      </c>
      <c r="N80" s="52">
        <f t="shared" si="41"/>
        <v>0</v>
      </c>
      <c r="O80" s="52">
        <f t="shared" si="41"/>
        <v>0</v>
      </c>
      <c r="P80" s="52">
        <f t="shared" si="41"/>
        <v>0</v>
      </c>
      <c r="Q80" s="52">
        <f t="shared" si="41"/>
        <v>0</v>
      </c>
      <c r="R80" s="52">
        <f t="shared" si="41"/>
        <v>0</v>
      </c>
      <c r="S80" s="52">
        <f t="shared" si="41"/>
        <v>0</v>
      </c>
      <c r="T80" s="52">
        <f t="shared" si="41"/>
        <v>0</v>
      </c>
      <c r="U80" s="52">
        <f t="shared" si="41"/>
        <v>0</v>
      </c>
    </row>
    <row r="81" spans="4:21" x14ac:dyDescent="0.25">
      <c r="E81" s="52">
        <f t="shared" si="40"/>
        <v>4</v>
      </c>
      <c r="F81" s="61">
        <f t="shared" ref="F81:U81" ca="1" si="42">F63*$F44</f>
        <v>181442.57320694879</v>
      </c>
      <c r="G81" s="52">
        <f t="shared" si="42"/>
        <v>0</v>
      </c>
      <c r="H81" s="52">
        <f t="shared" si="42"/>
        <v>0</v>
      </c>
      <c r="I81" s="52">
        <f t="shared" si="42"/>
        <v>0</v>
      </c>
      <c r="J81" s="52">
        <f t="shared" si="42"/>
        <v>53585.9375</v>
      </c>
      <c r="K81" s="52">
        <f t="shared" si="42"/>
        <v>45548.046875</v>
      </c>
      <c r="L81" s="52">
        <f t="shared" si="42"/>
        <v>38715.83984375</v>
      </c>
      <c r="M81" s="52">
        <f t="shared" si="42"/>
        <v>32908.4638671875</v>
      </c>
      <c r="N81" s="52">
        <f t="shared" si="42"/>
        <v>27972.194287109378</v>
      </c>
      <c r="O81" s="52">
        <f t="shared" si="42"/>
        <v>0</v>
      </c>
      <c r="P81" s="52">
        <f t="shared" si="42"/>
        <v>0</v>
      </c>
      <c r="Q81" s="52">
        <f t="shared" si="42"/>
        <v>0</v>
      </c>
      <c r="R81" s="52">
        <f t="shared" si="42"/>
        <v>0</v>
      </c>
      <c r="S81" s="52">
        <f t="shared" si="42"/>
        <v>0</v>
      </c>
      <c r="T81" s="52">
        <f t="shared" si="42"/>
        <v>0</v>
      </c>
      <c r="U81" s="52">
        <f t="shared" si="42"/>
        <v>0</v>
      </c>
    </row>
    <row r="82" spans="4:21" x14ac:dyDescent="0.25">
      <c r="E82" s="52">
        <f t="shared" si="40"/>
        <v>5</v>
      </c>
      <c r="F82" s="61">
        <f t="shared" ref="F82:U82" ca="1" si="43">F64*$F45</f>
        <v>206844.53345592157</v>
      </c>
      <c r="G82" s="52">
        <f t="shared" si="43"/>
        <v>0</v>
      </c>
      <c r="H82" s="52">
        <f t="shared" si="43"/>
        <v>0</v>
      </c>
      <c r="I82" s="52">
        <f t="shared" si="43"/>
        <v>0</v>
      </c>
      <c r="J82" s="52">
        <f t="shared" si="43"/>
        <v>0</v>
      </c>
      <c r="K82" s="52">
        <f t="shared" si="43"/>
        <v>61087.968749999993</v>
      </c>
      <c r="L82" s="52">
        <f t="shared" si="43"/>
        <v>51924.773437499993</v>
      </c>
      <c r="M82" s="52">
        <f t="shared" si="43"/>
        <v>44136.057421874997</v>
      </c>
      <c r="N82" s="52">
        <f t="shared" si="43"/>
        <v>37515.648808593745</v>
      </c>
      <c r="O82" s="52">
        <f t="shared" si="43"/>
        <v>31888.301487304678</v>
      </c>
      <c r="P82" s="52">
        <f t="shared" si="43"/>
        <v>0</v>
      </c>
      <c r="Q82" s="52">
        <f t="shared" si="43"/>
        <v>0</v>
      </c>
      <c r="R82" s="52">
        <f t="shared" si="43"/>
        <v>0</v>
      </c>
      <c r="S82" s="52">
        <f t="shared" si="43"/>
        <v>0</v>
      </c>
      <c r="T82" s="52">
        <f t="shared" si="43"/>
        <v>0</v>
      </c>
      <c r="U82" s="52">
        <f t="shared" si="43"/>
        <v>0</v>
      </c>
    </row>
    <row r="83" spans="4:21" x14ac:dyDescent="0.25">
      <c r="E83" s="52">
        <f t="shared" si="40"/>
        <v>6</v>
      </c>
      <c r="F83" s="61">
        <f t="shared" ref="F83:U83" ca="1" si="44">F65*$F46</f>
        <v>229252.6912469797</v>
      </c>
      <c r="G83" s="52">
        <f t="shared" si="44"/>
        <v>0</v>
      </c>
      <c r="H83" s="52">
        <f t="shared" si="44"/>
        <v>0</v>
      </c>
      <c r="I83" s="52">
        <f t="shared" si="44"/>
        <v>0</v>
      </c>
      <c r="J83" s="52">
        <f t="shared" si="44"/>
        <v>0</v>
      </c>
      <c r="K83" s="52">
        <f t="shared" si="44"/>
        <v>0</v>
      </c>
      <c r="L83" s="52">
        <f t="shared" si="44"/>
        <v>67705.832031249985</v>
      </c>
      <c r="M83" s="52">
        <f t="shared" si="44"/>
        <v>57549.957226562488</v>
      </c>
      <c r="N83" s="52">
        <f t="shared" si="44"/>
        <v>48917.463642578114</v>
      </c>
      <c r="O83" s="52">
        <f t="shared" si="44"/>
        <v>41579.844096191395</v>
      </c>
      <c r="P83" s="52">
        <f t="shared" si="44"/>
        <v>35342.867481762682</v>
      </c>
      <c r="Q83" s="52">
        <f t="shared" si="44"/>
        <v>0</v>
      </c>
      <c r="R83" s="52">
        <f t="shared" si="44"/>
        <v>0</v>
      </c>
      <c r="S83" s="52">
        <f t="shared" si="44"/>
        <v>0</v>
      </c>
      <c r="T83" s="52">
        <f t="shared" si="44"/>
        <v>0</v>
      </c>
      <c r="U83" s="52">
        <f t="shared" si="44"/>
        <v>0</v>
      </c>
    </row>
    <row r="84" spans="4:21" x14ac:dyDescent="0.25">
      <c r="E84" s="52">
        <f t="shared" si="40"/>
        <v>7</v>
      </c>
      <c r="F84" s="61">
        <f t="shared" ref="F84:U84" ca="1" si="45">F66*$F47</f>
        <v>248902.92192529226</v>
      </c>
      <c r="G84" s="52">
        <f t="shared" si="45"/>
        <v>0</v>
      </c>
      <c r="H84" s="52">
        <f t="shared" si="45"/>
        <v>0</v>
      </c>
      <c r="I84" s="52">
        <f t="shared" si="45"/>
        <v>0</v>
      </c>
      <c r="J84" s="52">
        <f t="shared" si="45"/>
        <v>0</v>
      </c>
      <c r="K84" s="52">
        <f t="shared" si="45"/>
        <v>0</v>
      </c>
      <c r="L84" s="52">
        <f t="shared" si="45"/>
        <v>0</v>
      </c>
      <c r="M84" s="52">
        <f t="shared" si="45"/>
        <v>73509.18906249998</v>
      </c>
      <c r="N84" s="52">
        <f t="shared" si="45"/>
        <v>62482.810703124982</v>
      </c>
      <c r="O84" s="52">
        <f t="shared" si="45"/>
        <v>53110.389097656232</v>
      </c>
      <c r="P84" s="52">
        <f t="shared" si="45"/>
        <v>45143.830733007802</v>
      </c>
      <c r="Q84" s="52">
        <f t="shared" si="45"/>
        <v>38372.256123056628</v>
      </c>
      <c r="R84" s="52">
        <f t="shared" si="45"/>
        <v>0</v>
      </c>
      <c r="S84" s="52">
        <f t="shared" si="45"/>
        <v>0</v>
      </c>
      <c r="T84" s="52">
        <f t="shared" si="45"/>
        <v>0</v>
      </c>
      <c r="U84" s="52">
        <f t="shared" si="45"/>
        <v>0</v>
      </c>
    </row>
    <row r="85" spans="4:21" x14ac:dyDescent="0.25">
      <c r="E85" s="52">
        <f t="shared" si="40"/>
        <v>8</v>
      </c>
      <c r="F85" s="61">
        <f t="shared" ref="F85:U85" ca="1" si="46">F67*$F48</f>
        <v>266014.99780765612</v>
      </c>
      <c r="G85" s="52">
        <f t="shared" si="46"/>
        <v>0</v>
      </c>
      <c r="H85" s="52">
        <f t="shared" si="46"/>
        <v>0</v>
      </c>
      <c r="I85" s="52">
        <f t="shared" si="46"/>
        <v>0</v>
      </c>
      <c r="J85" s="52">
        <f t="shared" si="46"/>
        <v>0</v>
      </c>
      <c r="K85" s="52">
        <f t="shared" si="46"/>
        <v>0</v>
      </c>
      <c r="L85" s="52">
        <f t="shared" si="46"/>
        <v>0</v>
      </c>
      <c r="M85" s="52">
        <f t="shared" si="46"/>
        <v>0</v>
      </c>
      <c r="N85" s="52">
        <f t="shared" si="46"/>
        <v>78562.945810546851</v>
      </c>
      <c r="O85" s="52">
        <f t="shared" si="46"/>
        <v>66778.503938964815</v>
      </c>
      <c r="P85" s="52">
        <f t="shared" si="46"/>
        <v>56761.728348120094</v>
      </c>
      <c r="Q85" s="52">
        <f t="shared" si="46"/>
        <v>48247.469095902081</v>
      </c>
      <c r="R85" s="52">
        <f t="shared" si="46"/>
        <v>41010.348731516766</v>
      </c>
      <c r="S85" s="52">
        <f t="shared" si="46"/>
        <v>0</v>
      </c>
      <c r="T85" s="52">
        <f t="shared" si="46"/>
        <v>0</v>
      </c>
      <c r="U85" s="52">
        <f t="shared" si="46"/>
        <v>0</v>
      </c>
    </row>
    <row r="86" spans="4:21" x14ac:dyDescent="0.25">
      <c r="E86" s="52">
        <f t="shared" si="40"/>
        <v>9</v>
      </c>
      <c r="F86" s="61">
        <f t="shared" ref="F86:U86" ca="1" si="47">F68*$F49</f>
        <v>280793.60879697028</v>
      </c>
      <c r="G86" s="52">
        <f t="shared" si="47"/>
        <v>0</v>
      </c>
      <c r="H86" s="52">
        <f t="shared" si="47"/>
        <v>0</v>
      </c>
      <c r="I86" s="52">
        <f t="shared" si="47"/>
        <v>0</v>
      </c>
      <c r="J86" s="52">
        <f t="shared" si="47"/>
        <v>0</v>
      </c>
      <c r="K86" s="52">
        <f t="shared" si="47"/>
        <v>0</v>
      </c>
      <c r="L86" s="52">
        <f t="shared" si="47"/>
        <v>0</v>
      </c>
      <c r="M86" s="52">
        <f t="shared" si="47"/>
        <v>0</v>
      </c>
      <c r="N86" s="52">
        <f t="shared" si="47"/>
        <v>0</v>
      </c>
      <c r="O86" s="52">
        <f t="shared" si="47"/>
        <v>82927.553911132782</v>
      </c>
      <c r="P86" s="52">
        <f t="shared" si="47"/>
        <v>70488.420824462853</v>
      </c>
      <c r="Q86" s="52">
        <f t="shared" si="47"/>
        <v>59915.157700793432</v>
      </c>
      <c r="R86" s="52">
        <f t="shared" si="47"/>
        <v>50927.884045674415</v>
      </c>
      <c r="S86" s="52">
        <f t="shared" si="47"/>
        <v>43288.701438823256</v>
      </c>
      <c r="T86" s="52">
        <f t="shared" si="47"/>
        <v>0</v>
      </c>
      <c r="U86" s="52">
        <f t="shared" si="47"/>
        <v>0</v>
      </c>
    </row>
    <row r="87" spans="4:21" x14ac:dyDescent="0.25">
      <c r="E87" s="52">
        <f t="shared" si="40"/>
        <v>10</v>
      </c>
      <c r="F87" s="61">
        <f t="shared" ref="F87:U87" ca="1" si="48">F69*$F50</f>
        <v>293429.32119283406</v>
      </c>
      <c r="G87" s="52">
        <f t="shared" si="48"/>
        <v>0</v>
      </c>
      <c r="H87" s="52">
        <f t="shared" si="48"/>
        <v>0</v>
      </c>
      <c r="I87" s="52">
        <f t="shared" si="48"/>
        <v>0</v>
      </c>
      <c r="J87" s="52">
        <f t="shared" si="48"/>
        <v>0</v>
      </c>
      <c r="K87" s="52">
        <f t="shared" si="48"/>
        <v>0</v>
      </c>
      <c r="L87" s="52">
        <f t="shared" si="48"/>
        <v>0</v>
      </c>
      <c r="M87" s="52">
        <f t="shared" si="48"/>
        <v>0</v>
      </c>
      <c r="N87" s="52">
        <f t="shared" si="48"/>
        <v>0</v>
      </c>
      <c r="O87" s="52">
        <f t="shared" si="48"/>
        <v>0</v>
      </c>
      <c r="P87" s="52">
        <f t="shared" si="48"/>
        <v>86659.293837133795</v>
      </c>
      <c r="Q87" s="52">
        <f t="shared" si="48"/>
        <v>73660.39976156372</v>
      </c>
      <c r="R87" s="52">
        <f t="shared" si="48"/>
        <v>62611.339797329158</v>
      </c>
      <c r="S87" s="52">
        <f t="shared" si="48"/>
        <v>53219.638827729774</v>
      </c>
      <c r="T87" s="52">
        <f t="shared" si="48"/>
        <v>45236.693003570304</v>
      </c>
      <c r="U87" s="52">
        <f t="shared" si="48"/>
        <v>0</v>
      </c>
    </row>
    <row r="88" spans="4:21" x14ac:dyDescent="0.25">
      <c r="E88" s="52">
        <f t="shared" si="40"/>
        <v>11</v>
      </c>
      <c r="F88" s="61">
        <f t="shared" ref="F88:U88" ca="1" si="49">F70*$F51</f>
        <v>304099.47832711879</v>
      </c>
      <c r="G88" s="52">
        <f t="shared" si="49"/>
        <v>0</v>
      </c>
      <c r="H88" s="52">
        <f t="shared" si="49"/>
        <v>0</v>
      </c>
      <c r="I88" s="52">
        <f t="shared" si="49"/>
        <v>0</v>
      </c>
      <c r="J88" s="52">
        <f t="shared" si="49"/>
        <v>0</v>
      </c>
      <c r="K88" s="52">
        <f t="shared" si="49"/>
        <v>0</v>
      </c>
      <c r="L88" s="52">
        <f t="shared" si="49"/>
        <v>0</v>
      </c>
      <c r="M88" s="52">
        <f t="shared" si="49"/>
        <v>0</v>
      </c>
      <c r="N88" s="52">
        <f t="shared" si="49"/>
        <v>0</v>
      </c>
      <c r="O88" s="52">
        <f t="shared" si="49"/>
        <v>0</v>
      </c>
      <c r="P88" s="52">
        <f t="shared" si="49"/>
        <v>0</v>
      </c>
      <c r="Q88" s="52">
        <f t="shared" si="49"/>
        <v>89810.540885756796</v>
      </c>
      <c r="R88" s="52">
        <f t="shared" si="49"/>
        <v>76338.959752893279</v>
      </c>
      <c r="S88" s="52">
        <f t="shared" si="49"/>
        <v>64888.115789959287</v>
      </c>
      <c r="T88" s="52">
        <f t="shared" si="49"/>
        <v>55154.89842146539</v>
      </c>
      <c r="U88" s="52">
        <f t="shared" si="49"/>
        <v>46881.663658245583</v>
      </c>
    </row>
    <row r="89" spans="4:21" x14ac:dyDescent="0.25">
      <c r="E89" s="52">
        <f t="shared" si="40"/>
        <v>12</v>
      </c>
      <c r="F89" s="61">
        <f t="shared" ref="F89:U89" ca="1" si="50">F71*$F52</f>
        <v>284914.3976315608</v>
      </c>
      <c r="G89" s="52">
        <f t="shared" si="50"/>
        <v>0</v>
      </c>
      <c r="H89" s="52">
        <f t="shared" si="50"/>
        <v>0</v>
      </c>
      <c r="I89" s="52">
        <f t="shared" si="50"/>
        <v>0</v>
      </c>
      <c r="J89" s="52">
        <f t="shared" si="50"/>
        <v>0</v>
      </c>
      <c r="K89" s="52">
        <f t="shared" si="50"/>
        <v>0</v>
      </c>
      <c r="L89" s="52">
        <f t="shared" si="50"/>
        <v>0</v>
      </c>
      <c r="M89" s="52">
        <f t="shared" si="50"/>
        <v>0</v>
      </c>
      <c r="N89" s="52">
        <f t="shared" si="50"/>
        <v>0</v>
      </c>
      <c r="O89" s="52">
        <f t="shared" si="50"/>
        <v>0</v>
      </c>
      <c r="P89" s="52">
        <f t="shared" si="50"/>
        <v>0</v>
      </c>
      <c r="Q89" s="52">
        <f t="shared" si="50"/>
        <v>0</v>
      </c>
      <c r="R89" s="52">
        <f t="shared" si="50"/>
        <v>96696.015686998158</v>
      </c>
      <c r="S89" s="52">
        <f t="shared" si="50"/>
        <v>82191.613333948437</v>
      </c>
      <c r="T89" s="52">
        <f t="shared" si="50"/>
        <v>69862.871333856165</v>
      </c>
      <c r="U89" s="52">
        <f t="shared" si="50"/>
        <v>59383.440633777747</v>
      </c>
    </row>
    <row r="90" spans="4:21" x14ac:dyDescent="0.25">
      <c r="E90" s="52">
        <f t="shared" si="40"/>
        <v>13</v>
      </c>
      <c r="F90" s="61">
        <f t="shared" ref="F90:U90" ca="1" si="51">F72*$F53</f>
        <v>273626.17286783818</v>
      </c>
      <c r="G90" s="52">
        <f t="shared" si="51"/>
        <v>0</v>
      </c>
      <c r="H90" s="52">
        <f t="shared" si="51"/>
        <v>0</v>
      </c>
      <c r="I90" s="52">
        <f t="shared" si="51"/>
        <v>0</v>
      </c>
      <c r="J90" s="52">
        <f t="shared" si="51"/>
        <v>0</v>
      </c>
      <c r="K90" s="52">
        <f t="shared" si="51"/>
        <v>0</v>
      </c>
      <c r="L90" s="52">
        <f t="shared" si="51"/>
        <v>0</v>
      </c>
      <c r="M90" s="52">
        <f t="shared" si="51"/>
        <v>0</v>
      </c>
      <c r="N90" s="52">
        <f t="shared" si="51"/>
        <v>0</v>
      </c>
      <c r="O90" s="52">
        <f t="shared" si="51"/>
        <v>0</v>
      </c>
      <c r="P90" s="52">
        <f t="shared" si="51"/>
        <v>0</v>
      </c>
      <c r="Q90" s="52">
        <f t="shared" si="51"/>
        <v>0</v>
      </c>
      <c r="R90" s="52">
        <f t="shared" si="51"/>
        <v>0</v>
      </c>
      <c r="S90" s="52">
        <f t="shared" si="51"/>
        <v>113475.61840915371</v>
      </c>
      <c r="T90" s="52">
        <f t="shared" si="51"/>
        <v>96454.275647780654</v>
      </c>
      <c r="U90" s="52">
        <f t="shared" si="51"/>
        <v>81986.134300613558</v>
      </c>
    </row>
    <row r="91" spans="4:21" x14ac:dyDescent="0.25">
      <c r="E91" s="52">
        <f t="shared" si="40"/>
        <v>14</v>
      </c>
      <c r="F91" s="61">
        <f t="shared" ref="F91:U91" ca="1" si="52">F73*$F54</f>
        <v>248410.65361619956</v>
      </c>
      <c r="G91" s="52">
        <f t="shared" si="52"/>
        <v>0</v>
      </c>
      <c r="H91" s="52">
        <f t="shared" si="52"/>
        <v>0</v>
      </c>
      <c r="I91" s="52">
        <f t="shared" si="52"/>
        <v>0</v>
      </c>
      <c r="J91" s="52">
        <f t="shared" si="52"/>
        <v>0</v>
      </c>
      <c r="K91" s="52">
        <f t="shared" si="52"/>
        <v>0</v>
      </c>
      <c r="L91" s="52">
        <f t="shared" si="52"/>
        <v>0</v>
      </c>
      <c r="M91" s="52">
        <f t="shared" si="52"/>
        <v>0</v>
      </c>
      <c r="N91" s="52">
        <f t="shared" si="52"/>
        <v>0</v>
      </c>
      <c r="O91" s="52">
        <f t="shared" si="52"/>
        <v>0</v>
      </c>
      <c r="P91" s="52">
        <f t="shared" si="52"/>
        <v>0</v>
      </c>
      <c r="Q91" s="52">
        <f t="shared" si="52"/>
        <v>0</v>
      </c>
      <c r="R91" s="52">
        <f t="shared" si="52"/>
        <v>0</v>
      </c>
      <c r="S91" s="52">
        <f t="shared" si="52"/>
        <v>0</v>
      </c>
      <c r="T91" s="52">
        <f t="shared" si="52"/>
        <v>141169.07290186384</v>
      </c>
      <c r="U91" s="52">
        <f t="shared" si="52"/>
        <v>119993.71196658426</v>
      </c>
    </row>
    <row r="92" spans="4:21" x14ac:dyDescent="0.25">
      <c r="E92" s="52">
        <f t="shared" si="40"/>
        <v>15</v>
      </c>
      <c r="F92" s="61">
        <f t="shared" ref="F92:U92" ca="1" si="53">F74*$F55</f>
        <v>188473.42188039792</v>
      </c>
      <c r="G92" s="52">
        <f t="shared" si="53"/>
        <v>0</v>
      </c>
      <c r="H92" s="52">
        <f t="shared" si="53"/>
        <v>0</v>
      </c>
      <c r="I92" s="52">
        <f t="shared" si="53"/>
        <v>0</v>
      </c>
      <c r="J92" s="52">
        <f t="shared" si="53"/>
        <v>0</v>
      </c>
      <c r="K92" s="52">
        <f t="shared" si="53"/>
        <v>0</v>
      </c>
      <c r="L92" s="52">
        <f t="shared" si="53"/>
        <v>0</v>
      </c>
      <c r="M92" s="52">
        <f t="shared" si="53"/>
        <v>0</v>
      </c>
      <c r="N92" s="52">
        <f t="shared" si="53"/>
        <v>0</v>
      </c>
      <c r="O92" s="52">
        <f t="shared" si="53"/>
        <v>0</v>
      </c>
      <c r="P92" s="52">
        <f t="shared" si="53"/>
        <v>0</v>
      </c>
      <c r="Q92" s="52">
        <f t="shared" si="53"/>
        <v>0</v>
      </c>
      <c r="R92" s="52">
        <f t="shared" si="53"/>
        <v>0</v>
      </c>
      <c r="S92" s="52">
        <f t="shared" si="53"/>
        <v>0</v>
      </c>
      <c r="T92" s="52">
        <f t="shared" si="53"/>
        <v>0</v>
      </c>
      <c r="U92" s="52">
        <f t="shared" si="53"/>
        <v>195069.99164621183</v>
      </c>
    </row>
    <row r="93" spans="4:21" x14ac:dyDescent="0.25">
      <c r="E93" s="62" t="s">
        <v>4</v>
      </c>
      <c r="F93" s="63"/>
      <c r="G93" s="63">
        <f>SUM(G78:G92)</f>
        <v>25000</v>
      </c>
      <c r="H93" s="63">
        <f t="shared" ref="H93:U93" si="54">SUM(H78:H92)</f>
        <v>56875</v>
      </c>
      <c r="I93" s="63">
        <f t="shared" si="54"/>
        <v>93468.75</v>
      </c>
      <c r="J93" s="63">
        <f t="shared" si="54"/>
        <v>133034.375</v>
      </c>
      <c r="K93" s="63">
        <f t="shared" si="54"/>
        <v>174167.1875</v>
      </c>
      <c r="L93" s="63">
        <f t="shared" si="54"/>
        <v>204655.30859375</v>
      </c>
      <c r="M93" s="63">
        <f t="shared" si="54"/>
        <v>231659.19960937498</v>
      </c>
      <c r="N93" s="63">
        <f t="shared" si="54"/>
        <v>255451.06325195311</v>
      </c>
      <c r="O93" s="63">
        <f t="shared" si="54"/>
        <v>276284.59253124992</v>
      </c>
      <c r="P93" s="63">
        <f t="shared" si="54"/>
        <v>294396.14122448722</v>
      </c>
      <c r="Q93" s="63">
        <f t="shared" si="54"/>
        <v>310005.82356707269</v>
      </c>
      <c r="R93" s="63">
        <f t="shared" si="54"/>
        <v>327584.54801441176</v>
      </c>
      <c r="S93" s="63">
        <f t="shared" si="54"/>
        <v>357063.68779961445</v>
      </c>
      <c r="T93" s="63">
        <f t="shared" si="54"/>
        <v>407877.81130853633</v>
      </c>
      <c r="U93" s="63">
        <f t="shared" si="54"/>
        <v>503314.94220543298</v>
      </c>
    </row>
    <row r="94" spans="4:21" x14ac:dyDescent="0.25">
      <c r="E94" s="35"/>
      <c r="F94" s="35"/>
      <c r="G94" s="35"/>
      <c r="H94" s="35"/>
      <c r="I94" s="35"/>
      <c r="J94" s="35"/>
      <c r="K94" s="35"/>
      <c r="L94" s="35"/>
      <c r="M94" s="35"/>
      <c r="N94" s="35"/>
      <c r="O94" s="35"/>
      <c r="P94" s="35"/>
      <c r="Q94" s="35"/>
      <c r="R94" s="35"/>
      <c r="S94" s="35"/>
      <c r="T94" s="35"/>
      <c r="U94" s="35"/>
    </row>
    <row r="95" spans="4:21" x14ac:dyDescent="0.25">
      <c r="D95" s="2" t="s">
        <v>85</v>
      </c>
      <c r="G95" s="49" t="s">
        <v>16</v>
      </c>
      <c r="H95" s="58"/>
      <c r="I95" s="58"/>
      <c r="J95" s="58"/>
      <c r="K95" s="58"/>
      <c r="L95" s="58"/>
      <c r="M95" s="58"/>
      <c r="N95" s="58"/>
      <c r="O95" s="58"/>
      <c r="P95" s="58"/>
      <c r="Q95" s="58"/>
      <c r="R95" s="58"/>
      <c r="S95" s="58"/>
    </row>
    <row r="96" spans="4:21" x14ac:dyDescent="0.25">
      <c r="E96" s="3" t="s">
        <v>12</v>
      </c>
      <c r="G96" s="54">
        <v>1</v>
      </c>
      <c r="H96" s="54">
        <f>G96+1</f>
        <v>2</v>
      </c>
      <c r="I96" s="54">
        <f t="shared" ref="I96" si="55">H96+1</f>
        <v>3</v>
      </c>
      <c r="J96" s="54">
        <f t="shared" ref="J96" si="56">I96+1</f>
        <v>4</v>
      </c>
      <c r="K96" s="54">
        <f t="shared" ref="K96" si="57">J96+1</f>
        <v>5</v>
      </c>
      <c r="L96" s="54">
        <f t="shared" ref="L96" si="58">K96+1</f>
        <v>6</v>
      </c>
      <c r="M96" s="54">
        <f t="shared" ref="M96" si="59">L96+1</f>
        <v>7</v>
      </c>
      <c r="N96" s="54">
        <f t="shared" ref="N96" si="60">M96+1</f>
        <v>8</v>
      </c>
      <c r="O96" s="54">
        <f t="shared" ref="O96" si="61">N96+1</f>
        <v>9</v>
      </c>
      <c r="P96" s="54">
        <f t="shared" ref="P96" si="62">O96+1</f>
        <v>10</v>
      </c>
      <c r="Q96" s="54">
        <f t="shared" ref="Q96" si="63">P96+1</f>
        <v>11</v>
      </c>
      <c r="R96" s="54">
        <f t="shared" ref="R96" si="64">Q96+1</f>
        <v>12</v>
      </c>
      <c r="S96" s="54">
        <f t="shared" ref="S96" si="65">R96+1</f>
        <v>13</v>
      </c>
      <c r="T96" s="54">
        <f t="shared" ref="T96" si="66">S96+1</f>
        <v>14</v>
      </c>
      <c r="U96" s="54">
        <f t="shared" ref="U96" si="67">T96+1</f>
        <v>15</v>
      </c>
    </row>
    <row r="97" spans="5:21" x14ac:dyDescent="0.25">
      <c r="E97" s="3">
        <v>1</v>
      </c>
      <c r="G97" s="15">
        <f t="shared" ref="G97:G111" si="68">IF(G78=0,0,NPV(DiscountRate,H78:K78))</f>
        <v>62613.034328825532</v>
      </c>
      <c r="H97" s="15">
        <f t="shared" ref="H97:H111" si="69">IF(H78=0,0,NPV(DiscountRate,I78:L78))</f>
        <v>43554.490530334428</v>
      </c>
      <c r="I97" s="15">
        <f t="shared" ref="I97:I111" si="70">IF(I78=0,0,NPV(DiscountRate,J78:M78))</f>
        <v>27016.397698896126</v>
      </c>
      <c r="J97" s="15">
        <f t="shared" ref="J97:J111" si="71">IF(J78=0,0,NPV(DiscountRate,K78:N78))</f>
        <v>12608.846618357489</v>
      </c>
      <c r="K97" s="15">
        <f t="shared" ref="K97:K111" si="72">IF(K78=0,0,NPV(DiscountRate,L78:O78))</f>
        <v>0</v>
      </c>
      <c r="L97" s="15">
        <f t="shared" ref="L97:L111" si="73">IF(L78=0,0,NPV(DiscountRate,M78:P78))</f>
        <v>0</v>
      </c>
      <c r="M97" s="15">
        <f t="shared" ref="M97:M111" si="74">IF(M78=0,0,NPV(DiscountRate,N78:Q78))</f>
        <v>0</v>
      </c>
      <c r="N97" s="15">
        <f t="shared" ref="N97:N111" si="75">IF(N78=0,0,NPV(DiscountRate,O78:R78))</f>
        <v>0</v>
      </c>
      <c r="O97" s="15">
        <f t="shared" ref="O97:O111" si="76">IF(O78=0,0,NPV(DiscountRate,P78:S78))</f>
        <v>0</v>
      </c>
      <c r="P97" s="15">
        <f t="shared" ref="P97:P111" si="77">IF(P78=0,0,NPV(DiscountRate,Q78:T78))</f>
        <v>0</v>
      </c>
      <c r="Q97" s="15">
        <f t="shared" ref="Q97:Q111" si="78">IF(Q78=0,0,NPV(DiscountRate,R78:U78))</f>
        <v>0</v>
      </c>
      <c r="R97" s="15">
        <f t="shared" ref="R97:R111" si="79">IF(R78=0,0,NPV(DiscountRate,S78:V78))</f>
        <v>0</v>
      </c>
      <c r="S97" s="15">
        <f t="shared" ref="S97:S111" si="80">IF(S78=0,0,NPV(DiscountRate,T78:W78))</f>
        <v>0</v>
      </c>
      <c r="T97" s="15">
        <f t="shared" ref="T97:T111" si="81">IF(T78=0,0,NPV(DiscountRate,U78:X78))</f>
        <v>0</v>
      </c>
      <c r="U97" s="15">
        <f t="shared" ref="U97:U111" si="82">IF(U78=0,0,NPV(DiscountRate,V78:Y78))</f>
        <v>0</v>
      </c>
    </row>
    <row r="98" spans="5:21" x14ac:dyDescent="0.25">
      <c r="E98" s="3">
        <f>E97+1</f>
        <v>2</v>
      </c>
      <c r="G98" s="15">
        <f t="shared" si="68"/>
        <v>0</v>
      </c>
      <c r="H98" s="15">
        <f t="shared" si="69"/>
        <v>89223.573918576381</v>
      </c>
      <c r="I98" s="15">
        <f t="shared" si="70"/>
        <v>62065.149005726555</v>
      </c>
      <c r="J98" s="15">
        <f t="shared" si="71"/>
        <v>38498.36672092697</v>
      </c>
      <c r="K98" s="15">
        <f t="shared" si="72"/>
        <v>17967.606431159416</v>
      </c>
      <c r="L98" s="15">
        <f t="shared" si="73"/>
        <v>0</v>
      </c>
      <c r="M98" s="15">
        <f t="shared" si="74"/>
        <v>0</v>
      </c>
      <c r="N98" s="15">
        <f t="shared" si="75"/>
        <v>0</v>
      </c>
      <c r="O98" s="15">
        <f t="shared" si="76"/>
        <v>0</v>
      </c>
      <c r="P98" s="15">
        <f t="shared" si="77"/>
        <v>0</v>
      </c>
      <c r="Q98" s="15">
        <f t="shared" si="78"/>
        <v>0</v>
      </c>
      <c r="R98" s="15">
        <f t="shared" si="79"/>
        <v>0</v>
      </c>
      <c r="S98" s="15">
        <f t="shared" si="80"/>
        <v>0</v>
      </c>
      <c r="T98" s="15">
        <f t="shared" si="81"/>
        <v>0</v>
      </c>
      <c r="U98" s="15">
        <f t="shared" si="82"/>
        <v>0</v>
      </c>
    </row>
    <row r="99" spans="5:21" x14ac:dyDescent="0.25">
      <c r="E99" s="3">
        <f t="shared" ref="E99:E111" si="83">E98+1</f>
        <v>3</v>
      </c>
      <c r="G99" s="15">
        <f t="shared" si="68"/>
        <v>0</v>
      </c>
      <c r="H99" s="15">
        <f t="shared" si="69"/>
        <v>0</v>
      </c>
      <c r="I99" s="15">
        <f t="shared" si="70"/>
        <v>113016.52696353009</v>
      </c>
      <c r="J99" s="15">
        <f t="shared" si="71"/>
        <v>78615.855407253635</v>
      </c>
      <c r="K99" s="15">
        <f t="shared" si="72"/>
        <v>48764.59784650751</v>
      </c>
      <c r="L99" s="15">
        <f t="shared" si="73"/>
        <v>22758.968146135267</v>
      </c>
      <c r="M99" s="15">
        <f t="shared" si="74"/>
        <v>0</v>
      </c>
      <c r="N99" s="15">
        <f t="shared" si="75"/>
        <v>0</v>
      </c>
      <c r="O99" s="15">
        <f t="shared" si="76"/>
        <v>0</v>
      </c>
      <c r="P99" s="15">
        <f t="shared" si="77"/>
        <v>0</v>
      </c>
      <c r="Q99" s="15">
        <f t="shared" si="78"/>
        <v>0</v>
      </c>
      <c r="R99" s="15">
        <f t="shared" si="79"/>
        <v>0</v>
      </c>
      <c r="S99" s="15">
        <f t="shared" si="80"/>
        <v>0</v>
      </c>
      <c r="T99" s="15">
        <f t="shared" si="81"/>
        <v>0</v>
      </c>
      <c r="U99" s="15">
        <f t="shared" si="82"/>
        <v>0</v>
      </c>
    </row>
    <row r="100" spans="5:21" x14ac:dyDescent="0.25">
      <c r="E100" s="3">
        <f t="shared" si="83"/>
        <v>4</v>
      </c>
      <c r="G100" s="15">
        <f t="shared" si="68"/>
        <v>0</v>
      </c>
      <c r="H100" s="15">
        <f t="shared" si="69"/>
        <v>0</v>
      </c>
      <c r="I100" s="15">
        <f t="shared" si="70"/>
        <v>0</v>
      </c>
      <c r="J100" s="15">
        <f t="shared" si="71"/>
        <v>134207.125769192</v>
      </c>
      <c r="K100" s="15">
        <f t="shared" si="72"/>
        <v>93356.328296113701</v>
      </c>
      <c r="L100" s="15">
        <f t="shared" si="73"/>
        <v>57907.95994272767</v>
      </c>
      <c r="M100" s="15">
        <f t="shared" si="74"/>
        <v>27026.274673535634</v>
      </c>
      <c r="N100" s="15">
        <f t="shared" si="75"/>
        <v>0</v>
      </c>
      <c r="O100" s="15">
        <f t="shared" si="76"/>
        <v>0</v>
      </c>
      <c r="P100" s="15">
        <f t="shared" si="77"/>
        <v>0</v>
      </c>
      <c r="Q100" s="15">
        <f t="shared" si="78"/>
        <v>0</v>
      </c>
      <c r="R100" s="15">
        <f t="shared" si="79"/>
        <v>0</v>
      </c>
      <c r="S100" s="15">
        <f t="shared" si="80"/>
        <v>0</v>
      </c>
      <c r="T100" s="15">
        <f t="shared" si="81"/>
        <v>0</v>
      </c>
      <c r="U100" s="15">
        <f t="shared" si="82"/>
        <v>0</v>
      </c>
    </row>
    <row r="101" spans="5:21" x14ac:dyDescent="0.25">
      <c r="E101" s="3">
        <f t="shared" si="83"/>
        <v>5</v>
      </c>
      <c r="G101" s="15">
        <f t="shared" si="68"/>
        <v>0</v>
      </c>
      <c r="H101" s="15">
        <f t="shared" si="69"/>
        <v>0</v>
      </c>
      <c r="I101" s="15">
        <f t="shared" si="70"/>
        <v>0</v>
      </c>
      <c r="J101" s="15">
        <f t="shared" si="71"/>
        <v>0</v>
      </c>
      <c r="K101" s="15">
        <f t="shared" si="72"/>
        <v>152996.12337687882</v>
      </c>
      <c r="L101" s="15">
        <f t="shared" si="73"/>
        <v>106426.21425756959</v>
      </c>
      <c r="M101" s="15">
        <f t="shared" si="74"/>
        <v>66015.074334709527</v>
      </c>
      <c r="N101" s="15">
        <f t="shared" si="75"/>
        <v>30809.953127830609</v>
      </c>
      <c r="O101" s="15">
        <f t="shared" si="76"/>
        <v>0</v>
      </c>
      <c r="P101" s="15">
        <f t="shared" si="77"/>
        <v>0</v>
      </c>
      <c r="Q101" s="15">
        <f t="shared" si="78"/>
        <v>0</v>
      </c>
      <c r="R101" s="15">
        <f t="shared" si="79"/>
        <v>0</v>
      </c>
      <c r="S101" s="15">
        <f t="shared" si="80"/>
        <v>0</v>
      </c>
      <c r="T101" s="15">
        <f t="shared" si="81"/>
        <v>0</v>
      </c>
      <c r="U101" s="15">
        <f t="shared" si="82"/>
        <v>0</v>
      </c>
    </row>
    <row r="102" spans="5:21" x14ac:dyDescent="0.25">
      <c r="E102" s="3">
        <f t="shared" si="83"/>
        <v>6</v>
      </c>
      <c r="G102" s="15">
        <f t="shared" si="68"/>
        <v>0</v>
      </c>
      <c r="H102" s="15">
        <f t="shared" si="69"/>
        <v>0</v>
      </c>
      <c r="I102" s="15">
        <f t="shared" si="70"/>
        <v>0</v>
      </c>
      <c r="J102" s="15">
        <f t="shared" si="71"/>
        <v>0</v>
      </c>
      <c r="K102" s="15">
        <f t="shared" si="72"/>
        <v>0</v>
      </c>
      <c r="L102" s="15">
        <f t="shared" si="73"/>
        <v>169570.70340937402</v>
      </c>
      <c r="M102" s="15">
        <f t="shared" si="74"/>
        <v>117955.72080213962</v>
      </c>
      <c r="N102" s="15">
        <f t="shared" si="75"/>
        <v>73166.707387636372</v>
      </c>
      <c r="O102" s="15">
        <f t="shared" si="76"/>
        <v>34147.698050012252</v>
      </c>
      <c r="P102" s="15">
        <f t="shared" si="77"/>
        <v>0</v>
      </c>
      <c r="Q102" s="15">
        <f t="shared" si="78"/>
        <v>0</v>
      </c>
      <c r="R102" s="15">
        <f t="shared" si="79"/>
        <v>0</v>
      </c>
      <c r="S102" s="15">
        <f t="shared" si="80"/>
        <v>0</v>
      </c>
      <c r="T102" s="15">
        <f t="shared" si="81"/>
        <v>0</v>
      </c>
      <c r="U102" s="15">
        <f t="shared" si="82"/>
        <v>0</v>
      </c>
    </row>
    <row r="103" spans="5:21" x14ac:dyDescent="0.25">
      <c r="E103" s="3">
        <f t="shared" si="83"/>
        <v>7</v>
      </c>
      <c r="G103" s="15">
        <f t="shared" si="68"/>
        <v>0</v>
      </c>
      <c r="H103" s="15">
        <f t="shared" si="69"/>
        <v>0</v>
      </c>
      <c r="I103" s="15">
        <f t="shared" si="70"/>
        <v>0</v>
      </c>
      <c r="J103" s="15">
        <f t="shared" si="71"/>
        <v>0</v>
      </c>
      <c r="K103" s="15">
        <f t="shared" si="72"/>
        <v>0</v>
      </c>
      <c r="L103" s="15">
        <f t="shared" si="73"/>
        <v>0</v>
      </c>
      <c r="M103" s="15">
        <f t="shared" si="74"/>
        <v>184105.33513017753</v>
      </c>
      <c r="N103" s="15">
        <f t="shared" si="75"/>
        <v>128066.21115660871</v>
      </c>
      <c r="O103" s="15">
        <f t="shared" si="76"/>
        <v>79438.139449433787</v>
      </c>
      <c r="P103" s="15">
        <f t="shared" si="77"/>
        <v>37074.643597156166</v>
      </c>
      <c r="Q103" s="15">
        <f t="shared" si="78"/>
        <v>0</v>
      </c>
      <c r="R103" s="15">
        <f t="shared" si="79"/>
        <v>0</v>
      </c>
      <c r="S103" s="15">
        <f t="shared" si="80"/>
        <v>0</v>
      </c>
      <c r="T103" s="15">
        <f t="shared" si="81"/>
        <v>0</v>
      </c>
      <c r="U103" s="15">
        <f t="shared" si="82"/>
        <v>0</v>
      </c>
    </row>
    <row r="104" spans="5:21" x14ac:dyDescent="0.25">
      <c r="E104" s="3">
        <f t="shared" si="83"/>
        <v>8</v>
      </c>
      <c r="G104" s="15">
        <f t="shared" si="68"/>
        <v>0</v>
      </c>
      <c r="H104" s="15">
        <f t="shared" si="69"/>
        <v>0</v>
      </c>
      <c r="I104" s="15">
        <f t="shared" si="70"/>
        <v>0</v>
      </c>
      <c r="J104" s="15">
        <f t="shared" si="71"/>
        <v>0</v>
      </c>
      <c r="K104" s="15">
        <f t="shared" si="72"/>
        <v>0</v>
      </c>
      <c r="L104" s="15">
        <f t="shared" si="73"/>
        <v>0</v>
      </c>
      <c r="M104" s="15">
        <f t="shared" si="74"/>
        <v>0</v>
      </c>
      <c r="N104" s="15">
        <f t="shared" si="75"/>
        <v>196762.57692037718</v>
      </c>
      <c r="O104" s="15">
        <f t="shared" si="76"/>
        <v>136870.76317362557</v>
      </c>
      <c r="P104" s="15">
        <f t="shared" si="77"/>
        <v>84899.511536582359</v>
      </c>
      <c r="Q104" s="15">
        <f t="shared" si="78"/>
        <v>39623.52534446065</v>
      </c>
      <c r="R104" s="15">
        <f t="shared" si="79"/>
        <v>0</v>
      </c>
      <c r="S104" s="15">
        <f t="shared" si="80"/>
        <v>0</v>
      </c>
      <c r="T104" s="15">
        <f t="shared" si="81"/>
        <v>0</v>
      </c>
      <c r="U104" s="15">
        <f t="shared" si="82"/>
        <v>0</v>
      </c>
    </row>
    <row r="105" spans="5:21" x14ac:dyDescent="0.25">
      <c r="E105" s="3">
        <f t="shared" si="83"/>
        <v>9</v>
      </c>
      <c r="G105" s="15">
        <f t="shared" si="68"/>
        <v>0</v>
      </c>
      <c r="H105" s="15">
        <f t="shared" si="69"/>
        <v>0</v>
      </c>
      <c r="I105" s="15">
        <f t="shared" si="70"/>
        <v>0</v>
      </c>
      <c r="J105" s="15">
        <f t="shared" si="71"/>
        <v>0</v>
      </c>
      <c r="K105" s="15">
        <f t="shared" si="72"/>
        <v>0</v>
      </c>
      <c r="L105" s="15">
        <f t="shared" si="73"/>
        <v>0</v>
      </c>
      <c r="M105" s="15">
        <f t="shared" si="74"/>
        <v>0</v>
      </c>
      <c r="N105" s="15">
        <f t="shared" si="75"/>
        <v>0</v>
      </c>
      <c r="O105" s="15">
        <f t="shared" si="76"/>
        <v>207693.83119373149</v>
      </c>
      <c r="P105" s="15">
        <f t="shared" si="77"/>
        <v>144474.69446104919</v>
      </c>
      <c r="Q105" s="15">
        <f t="shared" si="78"/>
        <v>89616.151066392486</v>
      </c>
      <c r="R105" s="15">
        <f t="shared" si="79"/>
        <v>41824.832308041798</v>
      </c>
      <c r="S105" s="15">
        <f t="shared" si="80"/>
        <v>0</v>
      </c>
      <c r="T105" s="15">
        <f t="shared" si="81"/>
        <v>0</v>
      </c>
      <c r="U105" s="15">
        <f t="shared" si="82"/>
        <v>0</v>
      </c>
    </row>
    <row r="106" spans="5:21" x14ac:dyDescent="0.25">
      <c r="E106" s="3">
        <f t="shared" si="83"/>
        <v>10</v>
      </c>
      <c r="G106" s="15">
        <f t="shared" si="68"/>
        <v>0</v>
      </c>
      <c r="H106" s="15">
        <f t="shared" si="69"/>
        <v>0</v>
      </c>
      <c r="I106" s="15">
        <f t="shared" si="70"/>
        <v>0</v>
      </c>
      <c r="J106" s="15">
        <f t="shared" si="71"/>
        <v>0</v>
      </c>
      <c r="K106" s="15">
        <f t="shared" si="72"/>
        <v>0</v>
      </c>
      <c r="L106" s="15">
        <f t="shared" si="73"/>
        <v>0</v>
      </c>
      <c r="M106" s="15">
        <f t="shared" si="74"/>
        <v>0</v>
      </c>
      <c r="N106" s="15">
        <f t="shared" si="75"/>
        <v>0</v>
      </c>
      <c r="O106" s="15">
        <f t="shared" si="76"/>
        <v>0</v>
      </c>
      <c r="P106" s="15">
        <f t="shared" si="77"/>
        <v>217040.05359744944</v>
      </c>
      <c r="Q106" s="15">
        <f t="shared" si="78"/>
        <v>150976.05571179642</v>
      </c>
      <c r="R106" s="15">
        <f t="shared" si="79"/>
        <v>93648.877864380149</v>
      </c>
      <c r="S106" s="15">
        <f t="shared" si="80"/>
        <v>43706.949761903677</v>
      </c>
      <c r="T106" s="15">
        <f t="shared" si="81"/>
        <v>0</v>
      </c>
      <c r="U106" s="15">
        <f t="shared" si="82"/>
        <v>0</v>
      </c>
    </row>
    <row r="107" spans="5:21" x14ac:dyDescent="0.25">
      <c r="E107" s="3">
        <f t="shared" si="83"/>
        <v>11</v>
      </c>
      <c r="G107" s="15">
        <f t="shared" si="68"/>
        <v>0</v>
      </c>
      <c r="H107" s="15">
        <f t="shared" si="69"/>
        <v>0</v>
      </c>
      <c r="I107" s="15">
        <f t="shared" si="70"/>
        <v>0</v>
      </c>
      <c r="J107" s="15">
        <f t="shared" si="71"/>
        <v>0</v>
      </c>
      <c r="K107" s="15">
        <f t="shared" si="72"/>
        <v>0</v>
      </c>
      <c r="L107" s="15">
        <f t="shared" si="73"/>
        <v>0</v>
      </c>
      <c r="M107" s="15">
        <f t="shared" si="74"/>
        <v>0</v>
      </c>
      <c r="N107" s="15">
        <f t="shared" si="75"/>
        <v>0</v>
      </c>
      <c r="O107" s="15">
        <f t="shared" si="76"/>
        <v>0</v>
      </c>
      <c r="P107" s="15">
        <f t="shared" si="77"/>
        <v>0</v>
      </c>
      <c r="Q107" s="15">
        <f t="shared" si="78"/>
        <v>224932.41918281117</v>
      </c>
      <c r="R107" s="15">
        <f t="shared" si="79"/>
        <v>156466.09410131627</v>
      </c>
      <c r="S107" s="15">
        <f t="shared" si="80"/>
        <v>97054.291604903046</v>
      </c>
      <c r="T107" s="15">
        <f t="shared" si="81"/>
        <v>45296.293389609265</v>
      </c>
      <c r="U107" s="15">
        <f t="shared" si="82"/>
        <v>0</v>
      </c>
    </row>
    <row r="108" spans="5:21" x14ac:dyDescent="0.25">
      <c r="E108" s="3">
        <f t="shared" si="83"/>
        <v>12</v>
      </c>
      <c r="G108" s="15">
        <f t="shared" si="68"/>
        <v>0</v>
      </c>
      <c r="H108" s="15">
        <f t="shared" si="69"/>
        <v>0</v>
      </c>
      <c r="I108" s="15">
        <f t="shared" si="70"/>
        <v>0</v>
      </c>
      <c r="J108" s="15">
        <f t="shared" si="71"/>
        <v>0</v>
      </c>
      <c r="K108" s="15">
        <f t="shared" si="72"/>
        <v>0</v>
      </c>
      <c r="L108" s="15">
        <f t="shared" si="73"/>
        <v>0</v>
      </c>
      <c r="M108" s="15">
        <f t="shared" si="74"/>
        <v>0</v>
      </c>
      <c r="N108" s="15">
        <f t="shared" si="75"/>
        <v>0</v>
      </c>
      <c r="O108" s="15">
        <f t="shared" si="76"/>
        <v>0</v>
      </c>
      <c r="P108" s="15">
        <f t="shared" si="77"/>
        <v>0</v>
      </c>
      <c r="Q108" s="15">
        <f t="shared" si="78"/>
        <v>0</v>
      </c>
      <c r="R108" s="15">
        <f t="shared" si="79"/>
        <v>198190.38586166731</v>
      </c>
      <c r="S108" s="15">
        <f t="shared" si="80"/>
        <v>122935.43603287722</v>
      </c>
      <c r="T108" s="15">
        <f t="shared" si="81"/>
        <v>57375.304960171743</v>
      </c>
      <c r="U108" s="15">
        <f t="shared" si="82"/>
        <v>0</v>
      </c>
    </row>
    <row r="109" spans="5:21" x14ac:dyDescent="0.25">
      <c r="E109" s="3">
        <f t="shared" si="83"/>
        <v>13</v>
      </c>
      <c r="G109" s="15">
        <f t="shared" si="68"/>
        <v>0</v>
      </c>
      <c r="H109" s="15">
        <f t="shared" si="69"/>
        <v>0</v>
      </c>
      <c r="I109" s="15">
        <f t="shared" si="70"/>
        <v>0</v>
      </c>
      <c r="J109" s="15">
        <f t="shared" si="71"/>
        <v>0</v>
      </c>
      <c r="K109" s="15">
        <f t="shared" si="72"/>
        <v>0</v>
      </c>
      <c r="L109" s="15">
        <f t="shared" si="73"/>
        <v>0</v>
      </c>
      <c r="M109" s="15">
        <f t="shared" si="74"/>
        <v>0</v>
      </c>
      <c r="N109" s="15">
        <f t="shared" si="75"/>
        <v>0</v>
      </c>
      <c r="O109" s="15">
        <f t="shared" si="76"/>
        <v>0</v>
      </c>
      <c r="P109" s="15">
        <f t="shared" si="77"/>
        <v>0</v>
      </c>
      <c r="Q109" s="15">
        <f t="shared" si="78"/>
        <v>0</v>
      </c>
      <c r="R109" s="15">
        <f t="shared" si="79"/>
        <v>0</v>
      </c>
      <c r="S109" s="15">
        <f t="shared" si="80"/>
        <v>169727.47050905882</v>
      </c>
      <c r="T109" s="15">
        <f t="shared" si="81"/>
        <v>79213.656329095233</v>
      </c>
      <c r="U109" s="15">
        <f t="shared" si="82"/>
        <v>0</v>
      </c>
    </row>
    <row r="110" spans="5:21" x14ac:dyDescent="0.25">
      <c r="E110" s="3">
        <f t="shared" si="83"/>
        <v>14</v>
      </c>
      <c r="G110" s="15">
        <f t="shared" si="68"/>
        <v>0</v>
      </c>
      <c r="H110" s="15">
        <f t="shared" si="69"/>
        <v>0</v>
      </c>
      <c r="I110" s="15">
        <f t="shared" si="70"/>
        <v>0</v>
      </c>
      <c r="J110" s="15">
        <f t="shared" si="71"/>
        <v>0</v>
      </c>
      <c r="K110" s="15">
        <f t="shared" si="72"/>
        <v>0</v>
      </c>
      <c r="L110" s="15">
        <f t="shared" si="73"/>
        <v>0</v>
      </c>
      <c r="M110" s="15">
        <f t="shared" si="74"/>
        <v>0</v>
      </c>
      <c r="N110" s="15">
        <f t="shared" si="75"/>
        <v>0</v>
      </c>
      <c r="O110" s="15">
        <f t="shared" si="76"/>
        <v>0</v>
      </c>
      <c r="P110" s="15">
        <f t="shared" si="77"/>
        <v>0</v>
      </c>
      <c r="Q110" s="15">
        <f t="shared" si="78"/>
        <v>0</v>
      </c>
      <c r="R110" s="15">
        <f t="shared" si="79"/>
        <v>0</v>
      </c>
      <c r="S110" s="15">
        <f t="shared" si="80"/>
        <v>0</v>
      </c>
      <c r="T110" s="15">
        <f t="shared" si="81"/>
        <v>115935.95359090267</v>
      </c>
      <c r="U110" s="15">
        <f t="shared" si="82"/>
        <v>0</v>
      </c>
    </row>
    <row r="111" spans="5:21" x14ac:dyDescent="0.25">
      <c r="E111" s="3">
        <f t="shared" si="83"/>
        <v>15</v>
      </c>
      <c r="G111" s="15">
        <f t="shared" si="68"/>
        <v>0</v>
      </c>
      <c r="H111" s="15">
        <f t="shared" si="69"/>
        <v>0</v>
      </c>
      <c r="I111" s="15">
        <f t="shared" si="70"/>
        <v>0</v>
      </c>
      <c r="J111" s="15">
        <f t="shared" si="71"/>
        <v>0</v>
      </c>
      <c r="K111" s="15">
        <f t="shared" si="72"/>
        <v>0</v>
      </c>
      <c r="L111" s="15">
        <f t="shared" si="73"/>
        <v>0</v>
      </c>
      <c r="M111" s="15">
        <f t="shared" si="74"/>
        <v>0</v>
      </c>
      <c r="N111" s="15">
        <f t="shared" si="75"/>
        <v>0</v>
      </c>
      <c r="O111" s="15">
        <f t="shared" si="76"/>
        <v>0</v>
      </c>
      <c r="P111" s="15">
        <f t="shared" si="77"/>
        <v>0</v>
      </c>
      <c r="Q111" s="15">
        <f t="shared" si="78"/>
        <v>0</v>
      </c>
      <c r="R111" s="15">
        <f t="shared" si="79"/>
        <v>0</v>
      </c>
      <c r="S111" s="15">
        <f t="shared" si="80"/>
        <v>0</v>
      </c>
      <c r="T111" s="15">
        <f t="shared" si="81"/>
        <v>0</v>
      </c>
      <c r="U111" s="15">
        <f t="shared" si="82"/>
        <v>0</v>
      </c>
    </row>
    <row r="112" spans="5:21" x14ac:dyDescent="0.25">
      <c r="E112" s="64" t="s">
        <v>4</v>
      </c>
      <c r="G112" s="65">
        <f>SUM(G97:G111)</f>
        <v>62613.034328825532</v>
      </c>
      <c r="H112" s="65">
        <f t="shared" ref="H112:U112" si="84">SUM(H97:H111)</f>
        <v>132778.06444891082</v>
      </c>
      <c r="I112" s="65">
        <f t="shared" si="84"/>
        <v>202098.07366815279</v>
      </c>
      <c r="J112" s="65">
        <f t="shared" si="84"/>
        <v>263930.19451573008</v>
      </c>
      <c r="K112" s="65">
        <f t="shared" si="84"/>
        <v>313084.65595065942</v>
      </c>
      <c r="L112" s="65">
        <f t="shared" si="84"/>
        <v>356663.84575580654</v>
      </c>
      <c r="M112" s="65">
        <f t="shared" si="84"/>
        <v>395102.40494056232</v>
      </c>
      <c r="N112" s="65">
        <f t="shared" si="84"/>
        <v>428805.44859245291</v>
      </c>
      <c r="O112" s="65">
        <f t="shared" si="84"/>
        <v>458150.43186680309</v>
      </c>
      <c r="P112" s="65">
        <f t="shared" si="84"/>
        <v>483488.90319223714</v>
      </c>
      <c r="Q112" s="65">
        <f t="shared" si="84"/>
        <v>505148.15130546072</v>
      </c>
      <c r="R112" s="65">
        <f t="shared" si="84"/>
        <v>490130.19013540552</v>
      </c>
      <c r="S112" s="65">
        <f t="shared" si="84"/>
        <v>433424.14790874277</v>
      </c>
      <c r="T112" s="65">
        <f t="shared" si="84"/>
        <v>297821.20826977893</v>
      </c>
      <c r="U112" s="65">
        <f t="shared" si="84"/>
        <v>0</v>
      </c>
    </row>
    <row r="115" spans="7:8" x14ac:dyDescent="0.25">
      <c r="G115" s="66"/>
      <c r="H115" s="66"/>
    </row>
    <row r="116" spans="7:8" x14ac:dyDescent="0.25">
      <c r="G116" s="66"/>
      <c r="H116" s="66"/>
    </row>
  </sheetData>
  <mergeCells count="3">
    <mergeCell ref="J38:N38"/>
    <mergeCell ref="P38:R38"/>
    <mergeCell ref="X59:Z59"/>
  </mergeCells>
  <pageMargins left="0.7" right="0.7" top="0.75" bottom="0.75" header="0.3" footer="0.3"/>
  <pageSetup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BBF71-1E19-4282-A6EC-AD0830B8C1C2}">
  <sheetPr>
    <tabColor theme="5"/>
  </sheetPr>
  <dimension ref="A1:AC115"/>
  <sheetViews>
    <sheetView showGridLines="0" topLeftCell="A10" zoomScaleNormal="100" workbookViewId="0">
      <selection activeCell="F16" sqref="F16"/>
    </sheetView>
  </sheetViews>
  <sheetFormatPr defaultColWidth="8.85546875" defaultRowHeight="15" x14ac:dyDescent="0.25"/>
  <cols>
    <col min="1" max="4" width="1.85546875" style="3" customWidth="1"/>
    <col min="5" max="5" width="18.85546875" style="3" bestFit="1" customWidth="1"/>
    <col min="6" max="6" width="21.5703125" style="3" bestFit="1" customWidth="1"/>
    <col min="7" max="18" width="15.5703125" style="3" bestFit="1" customWidth="1"/>
    <col min="19" max="21" width="16.140625" style="3" bestFit="1" customWidth="1"/>
    <col min="22" max="22" width="14" style="3" bestFit="1" customWidth="1"/>
    <col min="23" max="24" width="16.140625" style="3" bestFit="1" customWidth="1"/>
    <col min="25" max="25" width="20.42578125" style="3" customWidth="1"/>
    <col min="26" max="26" width="11.5703125" style="3" bestFit="1" customWidth="1"/>
    <col min="27" max="28" width="10.42578125" style="3" bestFit="1" customWidth="1"/>
    <col min="29" max="29" width="7.140625" style="3" bestFit="1" customWidth="1"/>
    <col min="30" max="30" width="1.85546875" style="3" customWidth="1"/>
    <col min="31" max="31" width="11.85546875" style="3" bestFit="1" customWidth="1"/>
    <col min="32" max="32" width="13.5703125" style="3" bestFit="1" customWidth="1"/>
    <col min="33" max="34" width="11.85546875" style="3" bestFit="1" customWidth="1"/>
    <col min="35" max="16384" width="8.85546875" style="3"/>
  </cols>
  <sheetData>
    <row r="1" spans="1:12" x14ac:dyDescent="0.25">
      <c r="A1" s="4" t="s">
        <v>95</v>
      </c>
    </row>
    <row r="2" spans="1:12" x14ac:dyDescent="0.25">
      <c r="A2" s="1" t="s">
        <v>96</v>
      </c>
    </row>
    <row r="3" spans="1:12" x14ac:dyDescent="0.25">
      <c r="A3" s="5" t="s">
        <v>97</v>
      </c>
    </row>
    <row r="4" spans="1:12" x14ac:dyDescent="0.25">
      <c r="A4" s="6" t="s">
        <v>108</v>
      </c>
    </row>
    <row r="6" spans="1:12" x14ac:dyDescent="0.25">
      <c r="B6" s="2" t="s">
        <v>0</v>
      </c>
    </row>
    <row r="7" spans="1:12" x14ac:dyDescent="0.25">
      <c r="B7" s="2" t="s">
        <v>1</v>
      </c>
    </row>
    <row r="8" spans="1:12" x14ac:dyDescent="0.25">
      <c r="B8" s="2"/>
    </row>
    <row r="9" spans="1:12" x14ac:dyDescent="0.25">
      <c r="B9" s="2" t="s">
        <v>7</v>
      </c>
      <c r="K9" s="7"/>
    </row>
    <row r="11" spans="1:12" x14ac:dyDescent="0.25">
      <c r="B11" s="2" t="s">
        <v>59</v>
      </c>
    </row>
    <row r="13" spans="1:12" x14ac:dyDescent="0.25">
      <c r="C13" s="2" t="s">
        <v>2</v>
      </c>
    </row>
    <row r="14" spans="1:12" x14ac:dyDescent="0.25">
      <c r="D14" s="3" t="s">
        <v>67</v>
      </c>
    </row>
    <row r="15" spans="1:12" x14ac:dyDescent="0.25">
      <c r="D15" s="3" t="s">
        <v>72</v>
      </c>
      <c r="J15" s="2" t="s">
        <v>44</v>
      </c>
      <c r="L15" s="45"/>
    </row>
    <row r="16" spans="1:12" x14ac:dyDescent="0.25">
      <c r="D16" s="3" t="s">
        <v>10</v>
      </c>
      <c r="J16" s="67" t="s">
        <v>45</v>
      </c>
      <c r="K16" s="67"/>
      <c r="L16" s="67"/>
    </row>
    <row r="17" spans="3:15" x14ac:dyDescent="0.25">
      <c r="D17" s="3" t="s">
        <v>14</v>
      </c>
      <c r="J17" s="68" t="s">
        <v>46</v>
      </c>
      <c r="K17" s="69"/>
      <c r="L17" s="68"/>
    </row>
    <row r="18" spans="3:15" x14ac:dyDescent="0.25">
      <c r="D18" s="3" t="s">
        <v>19</v>
      </c>
      <c r="J18" s="70" t="s">
        <v>47</v>
      </c>
      <c r="K18" s="70"/>
      <c r="L18" s="70"/>
    </row>
    <row r="19" spans="3:15" x14ac:dyDescent="0.25">
      <c r="D19" s="3" t="s">
        <v>20</v>
      </c>
      <c r="J19" s="71" t="s">
        <v>48</v>
      </c>
      <c r="K19" s="71"/>
      <c r="L19" s="71"/>
    </row>
    <row r="20" spans="3:15" x14ac:dyDescent="0.25">
      <c r="D20" s="3" t="s">
        <v>36</v>
      </c>
      <c r="J20" s="72" t="s">
        <v>49</v>
      </c>
      <c r="K20" s="72"/>
      <c r="L20" s="72"/>
    </row>
    <row r="21" spans="3:15" x14ac:dyDescent="0.25">
      <c r="D21" s="3" t="s">
        <v>35</v>
      </c>
      <c r="J21" s="73" t="s">
        <v>50</v>
      </c>
      <c r="K21" s="73"/>
      <c r="L21" s="73"/>
    </row>
    <row r="23" spans="3:15" x14ac:dyDescent="0.25">
      <c r="C23" s="2" t="s">
        <v>8</v>
      </c>
    </row>
    <row r="24" spans="3:15" x14ac:dyDescent="0.25">
      <c r="E24" s="113">
        <v>0.65</v>
      </c>
      <c r="F24" s="9" t="s">
        <v>11</v>
      </c>
      <c r="G24" s="9"/>
      <c r="H24" s="9"/>
      <c r="I24" s="9"/>
      <c r="J24" s="9"/>
    </row>
    <row r="25" spans="3:15" x14ac:dyDescent="0.25">
      <c r="E25" s="114">
        <v>3.5000000000000003E-2</v>
      </c>
      <c r="F25" s="9" t="s">
        <v>6</v>
      </c>
      <c r="G25" s="9"/>
      <c r="H25" s="9"/>
      <c r="I25" s="9"/>
      <c r="J25" s="9"/>
    </row>
    <row r="26" spans="3:15" x14ac:dyDescent="0.25">
      <c r="E26" s="113">
        <v>0.05</v>
      </c>
      <c r="F26" s="9" t="s">
        <v>9</v>
      </c>
      <c r="G26" s="9"/>
      <c r="H26" s="9"/>
      <c r="I26" s="9"/>
      <c r="J26" s="9"/>
    </row>
    <row r="27" spans="3:15" ht="12.6" customHeight="1" x14ac:dyDescent="0.25">
      <c r="E27" s="113">
        <v>0.15</v>
      </c>
      <c r="F27" s="9" t="s">
        <v>13</v>
      </c>
      <c r="O27" s="11"/>
    </row>
    <row r="28" spans="3:15" x14ac:dyDescent="0.25">
      <c r="E28" s="9"/>
      <c r="F28" s="9"/>
    </row>
    <row r="29" spans="3:15" ht="12.75" customHeight="1" x14ac:dyDescent="0.25">
      <c r="C29" s="2" t="s">
        <v>17</v>
      </c>
      <c r="E29" s="9"/>
      <c r="F29" s="9"/>
    </row>
    <row r="30" spans="3:15" ht="12.75" customHeight="1" x14ac:dyDescent="0.25">
      <c r="E30" s="12">
        <f>'Base Case'!E30</f>
        <v>451.96307684931026</v>
      </c>
      <c r="F30" s="9" t="s">
        <v>18</v>
      </c>
      <c r="L30" s="11"/>
    </row>
    <row r="31" spans="3:15" x14ac:dyDescent="0.25">
      <c r="E31" s="74">
        <f ca="1">SUM(F35:H35)/E35</f>
        <v>0.65807925033503489</v>
      </c>
      <c r="F31" s="9" t="s">
        <v>31</v>
      </c>
    </row>
    <row r="32" spans="3:15" x14ac:dyDescent="0.25">
      <c r="E32" s="9"/>
      <c r="F32" s="9"/>
    </row>
    <row r="33" spans="3:22" x14ac:dyDescent="0.25">
      <c r="C33" s="2" t="s">
        <v>37</v>
      </c>
      <c r="D33" s="2"/>
      <c r="E33" s="2"/>
      <c r="F33" s="2"/>
      <c r="G33" s="2"/>
    </row>
    <row r="34" spans="3:22" ht="30" x14ac:dyDescent="0.25">
      <c r="E34" s="14" t="s">
        <v>38</v>
      </c>
      <c r="F34" s="14" t="str">
        <f>"PV Claims Paid (incurred t&lt;="&amp;$U$38&amp;")"</f>
        <v>PV Claims Paid (incurred t&lt;=4)</v>
      </c>
      <c r="G34" s="14" t="str">
        <f>"PV Claim Reserve (t="&amp;$U$38&amp;")"</f>
        <v>PV Claim Reserve (t=4)</v>
      </c>
      <c r="H34" s="14" t="str">
        <f>"PVF Claims Paid (incurred t&gt;"&amp;$U$38&amp;")"</f>
        <v>PVF Claims Paid (incurred t&gt;4)</v>
      </c>
      <c r="I34" s="14" t="s">
        <v>4</v>
      </c>
    </row>
    <row r="35" spans="3:22" x14ac:dyDescent="0.25">
      <c r="E35" s="15">
        <f>NPV(DiscountRate,J41:J$55)*(1+DiscountRate)</f>
        <v>3981460.330999488</v>
      </c>
      <c r="F35" s="16">
        <f ca="1">NPV(DiscountRate,T41:T$55)</f>
        <v>289701.13219424529</v>
      </c>
      <c r="G35" s="16">
        <f ca="1">NPV(DiscountRate,U41:U$55)</f>
        <v>249949.23902083098</v>
      </c>
      <c r="H35" s="16">
        <f ca="1">NPV(DiscountRate,V41:V$55)</f>
        <v>2080466.0586477467</v>
      </c>
      <c r="I35" s="75">
        <f ca="1">SUM(F35:H35)</f>
        <v>2620116.4298628229</v>
      </c>
    </row>
    <row r="36" spans="3:22" x14ac:dyDescent="0.25">
      <c r="E36" s="9"/>
      <c r="F36" s="9"/>
      <c r="K36" s="16"/>
      <c r="L36" s="16"/>
      <c r="M36" s="16"/>
      <c r="N36" s="16"/>
      <c r="O36" s="16"/>
      <c r="P36" s="16"/>
      <c r="Q36" s="16"/>
      <c r="R36" s="16"/>
    </row>
    <row r="37" spans="3:22" ht="12.6" customHeight="1" x14ac:dyDescent="0.25">
      <c r="C37" s="2" t="s">
        <v>92</v>
      </c>
      <c r="E37" s="9"/>
      <c r="F37" s="9"/>
      <c r="N37" s="11"/>
      <c r="O37" s="17"/>
      <c r="R37" s="2"/>
    </row>
    <row r="38" spans="3:22" ht="12.6" customHeight="1" x14ac:dyDescent="0.25">
      <c r="C38" s="2"/>
      <c r="E38" s="9"/>
      <c r="F38" s="9"/>
      <c r="J38" s="116" t="s">
        <v>56</v>
      </c>
      <c r="K38" s="117"/>
      <c r="L38" s="117"/>
      <c r="M38" s="117"/>
      <c r="N38" s="118"/>
      <c r="O38" s="18"/>
      <c r="P38" s="116" t="s">
        <v>57</v>
      </c>
      <c r="Q38" s="117"/>
      <c r="R38" s="118"/>
      <c r="T38" s="19" t="s">
        <v>34</v>
      </c>
      <c r="U38" s="3">
        <v>4</v>
      </c>
    </row>
    <row r="39" spans="3:22" ht="45" x14ac:dyDescent="0.25">
      <c r="E39" s="20" t="s">
        <v>3</v>
      </c>
      <c r="F39" s="20" t="s">
        <v>22</v>
      </c>
      <c r="G39" s="20" t="s">
        <v>29</v>
      </c>
      <c r="H39" s="20" t="s">
        <v>28</v>
      </c>
      <c r="I39" s="20" t="s">
        <v>30</v>
      </c>
      <c r="J39" s="20" t="s">
        <v>52</v>
      </c>
      <c r="K39" s="20" t="s">
        <v>53</v>
      </c>
      <c r="L39" s="20" t="s">
        <v>54</v>
      </c>
      <c r="M39" s="20" t="s">
        <v>55</v>
      </c>
      <c r="N39" s="20" t="s">
        <v>70</v>
      </c>
      <c r="O39" s="20" t="s">
        <v>71</v>
      </c>
      <c r="P39" s="20" t="s">
        <v>68</v>
      </c>
      <c r="Q39" s="20" t="s">
        <v>32</v>
      </c>
      <c r="R39" s="20" t="s">
        <v>33</v>
      </c>
      <c r="T39" s="20" t="str">
        <f>"Claims Paid (t&lt;="&amp;$U$38&amp;")"</f>
        <v>Claims Paid (t&lt;=4)</v>
      </c>
      <c r="U39" s="20" t="str">
        <f>"Claim Reserve (t="&amp;$U$38&amp;")"</f>
        <v>Claim Reserve (t=4)</v>
      </c>
      <c r="V39" s="20" t="str">
        <f>"Future Claims Paid (incurred t&gt;"&amp;$U$38&amp;")"</f>
        <v>Future Claims Paid (incurred t&gt;4)</v>
      </c>
    </row>
    <row r="40" spans="3:22" x14ac:dyDescent="0.25">
      <c r="E40" s="25">
        <v>0</v>
      </c>
      <c r="F40" s="25"/>
      <c r="G40" s="25"/>
      <c r="H40" s="25"/>
      <c r="I40" s="25"/>
      <c r="J40" s="25"/>
      <c r="K40" s="25"/>
      <c r="L40" s="25"/>
      <c r="M40" s="25"/>
      <c r="N40" s="25"/>
      <c r="O40" s="25"/>
      <c r="P40" s="25"/>
      <c r="Q40" s="25"/>
      <c r="R40" s="25"/>
      <c r="T40" s="26"/>
      <c r="U40" s="27"/>
      <c r="V40" s="27"/>
    </row>
    <row r="41" spans="3:22" x14ac:dyDescent="0.25">
      <c r="E41" s="30">
        <v>1</v>
      </c>
      <c r="F41" s="31">
        <v>1000</v>
      </c>
      <c r="G41" s="32"/>
      <c r="H41" s="32"/>
      <c r="I41" s="32"/>
      <c r="J41" s="76">
        <f>'Base Case'!J41</f>
        <v>451963.07684931025</v>
      </c>
      <c r="K41" s="76">
        <f>'Base Case'!K41</f>
        <v>25000</v>
      </c>
      <c r="L41" s="77">
        <f>'Base Case'!L41</f>
        <v>15818.707689725861</v>
      </c>
      <c r="M41" s="76">
        <f ca="1">P41-P40</f>
        <v>279058.15995037323</v>
      </c>
      <c r="N41" s="77">
        <f ca="1">'Base Case'!N41</f>
        <v>163723.62458866287</v>
      </c>
      <c r="O41" s="78">
        <f ca="1">'Base Case'!O41</f>
        <v>0.35000000000000053</v>
      </c>
      <c r="P41" s="76">
        <f ca="1">'Base Case'!P41</f>
        <v>279058.15995037323</v>
      </c>
      <c r="Q41" s="76">
        <f ca="1">'Base Case'!Q41</f>
        <v>216445.12562154746</v>
      </c>
      <c r="R41" s="76">
        <f>'Base Case'!R41</f>
        <v>62613.034328825532</v>
      </c>
      <c r="S41" s="16"/>
      <c r="T41" s="34">
        <f t="shared" ref="T41:T55" ca="1" si="0">IF(E41&lt;=$U$38,SUM(OFFSET($G$77,0,E41-1,U$38)),0)</f>
        <v>25000</v>
      </c>
      <c r="U41" s="32">
        <f t="shared" ref="U41:U55" ca="1" si="1">IF(E41=$U$38,OFFSET($F$111,0,$U$38),0)</f>
        <v>0</v>
      </c>
      <c r="V41" s="32">
        <f t="shared" ref="V41:V55" ca="1" si="2">IF(E41&gt;$U$38,OFFSET($F$92,0,E41)-IFERROR(SUM(OFFSET($G$77,0,E41-1,U$38)),0),0)</f>
        <v>0</v>
      </c>
    </row>
    <row r="42" spans="3:22" x14ac:dyDescent="0.25">
      <c r="E42" s="30">
        <f>E41+1</f>
        <v>2</v>
      </c>
      <c r="F42" s="37">
        <f t="shared" ref="F42:F55" si="3">F41*(1-PolicyTerm)</f>
        <v>950</v>
      </c>
      <c r="G42" s="32"/>
      <c r="H42" s="32"/>
      <c r="I42" s="32"/>
      <c r="J42" s="76">
        <f>'Base Case'!J42</f>
        <v>429364.92300684477</v>
      </c>
      <c r="K42" s="76">
        <f>'Base Case'!K42</f>
        <v>56875</v>
      </c>
      <c r="L42" s="77">
        <f ca="1">'Base Case'!L42</f>
        <v>24794.807903502631</v>
      </c>
      <c r="M42" s="76">
        <f t="shared" ref="M42:M55" ca="1" si="4">P42-P41</f>
        <v>241747.2875511176</v>
      </c>
      <c r="N42" s="77">
        <f ca="1">'Base Case'!N42</f>
        <v>155537.44335922983</v>
      </c>
      <c r="O42" s="78">
        <f ca="1">'Base Case'!O42</f>
        <v>0.3500000000000007</v>
      </c>
      <c r="P42" s="76">
        <f ca="1">'Base Case'!P42</f>
        <v>520805.44750149082</v>
      </c>
      <c r="Q42" s="76">
        <f ca="1">'Base Case'!Q42</f>
        <v>388027.38305258006</v>
      </c>
      <c r="R42" s="76">
        <f>'Base Case'!R42</f>
        <v>132778.06444891082</v>
      </c>
      <c r="T42" s="34">
        <f t="shared" ca="1" si="0"/>
        <v>56875</v>
      </c>
      <c r="U42" s="32">
        <f t="shared" ca="1" si="1"/>
        <v>0</v>
      </c>
      <c r="V42" s="32">
        <f t="shared" ca="1" si="2"/>
        <v>0</v>
      </c>
    </row>
    <row r="43" spans="3:22" x14ac:dyDescent="0.25">
      <c r="E43" s="30">
        <f t="shared" ref="E43:E55" si="5">E42+1</f>
        <v>3</v>
      </c>
      <c r="F43" s="37">
        <f t="shared" si="3"/>
        <v>902.5</v>
      </c>
      <c r="G43" s="32"/>
      <c r="H43" s="32"/>
      <c r="I43" s="32"/>
      <c r="J43" s="76">
        <f>'Base Case'!J43</f>
        <v>407896.67685650248</v>
      </c>
      <c r="K43" s="76">
        <f>'Base Case'!K43</f>
        <v>93468.75</v>
      </c>
      <c r="L43" s="77">
        <f ca="1">'Base Case'!L43</f>
        <v>32504.574352529766</v>
      </c>
      <c r="M43" s="76">
        <f t="shared" ca="1" si="4"/>
        <v>199171.93001776468</v>
      </c>
      <c r="N43" s="77">
        <f ca="1">'Base Case'!N43</f>
        <v>147760.57119126758</v>
      </c>
      <c r="O43" s="78">
        <f ca="1">'Base Case'!O43</f>
        <v>0.34999999999999898</v>
      </c>
      <c r="P43" s="76">
        <f ca="1">'Base Case'!P43</f>
        <v>719977.3775192555</v>
      </c>
      <c r="Q43" s="76">
        <f ca="1">'Base Case'!Q43</f>
        <v>517879.30385110201</v>
      </c>
      <c r="R43" s="76">
        <f>'Base Case'!R43</f>
        <v>202098.07366815279</v>
      </c>
      <c r="T43" s="34">
        <f t="shared" ca="1" si="0"/>
        <v>93468.75</v>
      </c>
      <c r="U43" s="32">
        <f t="shared" ca="1" si="1"/>
        <v>0</v>
      </c>
      <c r="V43" s="32">
        <f t="shared" ca="1" si="2"/>
        <v>0</v>
      </c>
    </row>
    <row r="44" spans="3:22" x14ac:dyDescent="0.25">
      <c r="E44" s="38">
        <f t="shared" si="5"/>
        <v>4</v>
      </c>
      <c r="F44" s="39">
        <f t="shared" si="3"/>
        <v>857.375</v>
      </c>
      <c r="G44" s="40"/>
      <c r="H44" s="40"/>
      <c r="I44" s="40"/>
      <c r="J44" s="40">
        <f t="shared" ref="J44:J55" si="6">$E$30*F44</f>
        <v>387501.8430136774</v>
      </c>
      <c r="K44" s="79">
        <f t="shared" ref="K44:K55" si="7">HLOOKUP(E44,$G$76:$U$92,17,0)</f>
        <v>147054.6875</v>
      </c>
      <c r="L44" s="40">
        <f t="shared" ref="L44:L55" ca="1" si="8">($J44+P43)*DiscountRate</f>
        <v>38761.772718652654</v>
      </c>
      <c r="M44" s="79">
        <f t="shared" ca="1" si="4"/>
        <v>153643.19631256838</v>
      </c>
      <c r="N44" s="79">
        <f ca="1">J44+L44-K44-M44</f>
        <v>125565.73191976169</v>
      </c>
      <c r="O44" s="80">
        <f t="shared" ref="O44:O55" ca="1" si="9">IFERROR((N44/(1+DiscountRate))/J44,0)</f>
        <v>0.31308121480155099</v>
      </c>
      <c r="P44" s="81">
        <f t="shared" ref="P44:P55" ca="1" si="10">H45-G45*NetPremiumRatio</f>
        <v>873620.57383182389</v>
      </c>
      <c r="Q44" s="79">
        <f t="shared" ref="Q44:Q55" ca="1" si="11">I45-G45*NetPremiumRatio</f>
        <v>586798.07306670421</v>
      </c>
      <c r="R44" s="79">
        <f t="shared" ref="R44:R55" si="12">HLOOKUP(E44,$G$95:$U$111,17,0)</f>
        <v>286822.50076511921</v>
      </c>
      <c r="T44" s="34">
        <f t="shared" ca="1" si="0"/>
        <v>147054.6875</v>
      </c>
      <c r="U44" s="32">
        <f t="shared" ca="1" si="1"/>
        <v>286822.50076511921</v>
      </c>
      <c r="V44" s="32">
        <f t="shared" ca="1" si="2"/>
        <v>0</v>
      </c>
    </row>
    <row r="45" spans="3:22" x14ac:dyDescent="0.25">
      <c r="E45" s="30">
        <f t="shared" si="5"/>
        <v>5</v>
      </c>
      <c r="F45" s="37">
        <f t="shared" si="3"/>
        <v>814.50624999999991</v>
      </c>
      <c r="G45" s="32">
        <f>NPV(DiscountRate,J45:J$55)*(1+DiscountRate)</f>
        <v>2736121.189559659</v>
      </c>
      <c r="H45" s="32">
        <f>NPV(DiscountRate,K45:K$55)</f>
        <v>2674205.1550830482</v>
      </c>
      <c r="I45" s="32">
        <f ca="1">NPV(DiscountRate,F81:$F$91)*(1+DiscountRate)</f>
        <v>2387382.6543179285</v>
      </c>
      <c r="J45" s="32">
        <f t="shared" si="6"/>
        <v>368126.75086299347</v>
      </c>
      <c r="K45" s="32">
        <f t="shared" si="7"/>
        <v>186084.453125</v>
      </c>
      <c r="L45" s="32">
        <f t="shared" ca="1" si="8"/>
        <v>43461.156364318616</v>
      </c>
      <c r="M45" s="32">
        <f t="shared" ca="1" si="4"/>
        <v>95227.823363571428</v>
      </c>
      <c r="N45" s="32">
        <f t="shared" ref="N45:N55" ca="1" si="13">J45+L45-K45-M45</f>
        <v>130275.63073874067</v>
      </c>
      <c r="O45" s="33">
        <f t="shared" ca="1" si="9"/>
        <v>0.34192074966496516</v>
      </c>
      <c r="P45" s="34">
        <f t="shared" ca="1" si="10"/>
        <v>968848.39719539532</v>
      </c>
      <c r="Q45" s="32">
        <f t="shared" ca="1" si="11"/>
        <v>643987.46990161738</v>
      </c>
      <c r="R45" s="32">
        <f t="shared" si="12"/>
        <v>324860.92729377712</v>
      </c>
      <c r="T45" s="34">
        <f t="shared" ca="1" si="0"/>
        <v>0</v>
      </c>
      <c r="U45" s="32">
        <f t="shared" ca="1" si="1"/>
        <v>0</v>
      </c>
      <c r="V45" s="32">
        <f t="shared" ca="1" si="2"/>
        <v>61087.96875</v>
      </c>
    </row>
    <row r="46" spans="3:22" x14ac:dyDescent="0.25">
      <c r="E46" s="30">
        <f t="shared" si="5"/>
        <v>6</v>
      </c>
      <c r="F46" s="37">
        <f t="shared" si="3"/>
        <v>773.78093749999982</v>
      </c>
      <c r="G46" s="32">
        <f>NPV(DiscountRate,J46:J$55)*(1+DiscountRate)</f>
        <v>2450874.2440510485</v>
      </c>
      <c r="H46" s="32">
        <f>NPV(DiscountRate,K46:K$55)</f>
        <v>2581717.8823859547</v>
      </c>
      <c r="I46" s="32">
        <f ca="1">NPV(DiscountRate,F82:$F$91)*(1+DiscountRate)</f>
        <v>2256856.9550921768</v>
      </c>
      <c r="J46" s="32">
        <f t="shared" si="6"/>
        <v>349720.41331984376</v>
      </c>
      <c r="K46" s="32">
        <f t="shared" si="7"/>
        <v>212827.4609375</v>
      </c>
      <c r="L46" s="32">
        <f t="shared" ca="1" si="8"/>
        <v>46149.908368033372</v>
      </c>
      <c r="M46" s="32">
        <f t="shared" ca="1" si="4"/>
        <v>59281.011548573151</v>
      </c>
      <c r="N46" s="32">
        <f t="shared" ca="1" si="13"/>
        <v>123761.84920180397</v>
      </c>
      <c r="O46" s="33">
        <f t="shared" ca="1" si="9"/>
        <v>0.34192074966496611</v>
      </c>
      <c r="P46" s="34">
        <f t="shared" ca="1" si="10"/>
        <v>1028129.4087439685</v>
      </c>
      <c r="Q46" s="32">
        <f t="shared" ca="1" si="11"/>
        <v>667449.2744917844</v>
      </c>
      <c r="R46" s="32">
        <f t="shared" si="12"/>
        <v>360680.13425218337</v>
      </c>
      <c r="T46" s="34">
        <f t="shared" ca="1" si="0"/>
        <v>0</v>
      </c>
      <c r="U46" s="32">
        <f t="shared" ca="1" si="1"/>
        <v>0</v>
      </c>
      <c r="V46" s="32">
        <f t="shared" ca="1" si="2"/>
        <v>119630.60546875</v>
      </c>
    </row>
    <row r="47" spans="3:22" x14ac:dyDescent="0.25">
      <c r="E47" s="30">
        <f t="shared" si="5"/>
        <v>7</v>
      </c>
      <c r="F47" s="37">
        <f t="shared" si="3"/>
        <v>735.09189062499979</v>
      </c>
      <c r="G47" s="32">
        <f>NPV(DiscountRate,J47:J$55)*(1+DiscountRate)</f>
        <v>2174694.214806797</v>
      </c>
      <c r="H47" s="32">
        <f>NPV(DiscountRate,K47:K$55)</f>
        <v>2459250.5473319627</v>
      </c>
      <c r="I47" s="32">
        <f ca="1">NPV(DiscountRate,F83:$F$91)*(1+DiscountRate)</f>
        <v>2098570.4130797787</v>
      </c>
      <c r="J47" s="32">
        <f t="shared" si="6"/>
        <v>332234.39265385154</v>
      </c>
      <c r="K47" s="32">
        <f t="shared" si="7"/>
        <v>235816.05820312497</v>
      </c>
      <c r="L47" s="32">
        <f t="shared" ca="1" si="8"/>
        <v>47612.733048923707</v>
      </c>
      <c r="M47" s="32">
        <f t="shared" ca="1" si="4"/>
        <v>26457.310757936677</v>
      </c>
      <c r="N47" s="32">
        <f t="shared" ca="1" si="13"/>
        <v>117573.75674171362</v>
      </c>
      <c r="O47" s="33">
        <f t="shared" ca="1" si="9"/>
        <v>0.34192074966496572</v>
      </c>
      <c r="P47" s="34">
        <f t="shared" ca="1" si="10"/>
        <v>1054586.7195019051</v>
      </c>
      <c r="Q47" s="32">
        <f t="shared" ca="1" si="11"/>
        <v>659484.31456134305</v>
      </c>
      <c r="R47" s="32">
        <f t="shared" si="12"/>
        <v>395102.40494056232</v>
      </c>
      <c r="T47" s="34">
        <f t="shared" ca="1" si="0"/>
        <v>0</v>
      </c>
      <c r="U47" s="32">
        <f t="shared" ca="1" si="1"/>
        <v>0</v>
      </c>
      <c r="V47" s="32">
        <f t="shared" ca="1" si="2"/>
        <v>175195.20371093747</v>
      </c>
    </row>
    <row r="48" spans="3:22" x14ac:dyDescent="0.25">
      <c r="E48" s="30">
        <f t="shared" si="5"/>
        <v>8</v>
      </c>
      <c r="F48" s="37">
        <f t="shared" si="3"/>
        <v>698.33729609374973</v>
      </c>
      <c r="G48" s="32">
        <f>NPV(DiscountRate,J48:J$55)*(1+DiscountRate)</f>
        <v>1906945.9159282979</v>
      </c>
      <c r="H48" s="32">
        <f>NPV(DiscountRate,K48:K$55)</f>
        <v>2309508.2582854559</v>
      </c>
      <c r="I48" s="32">
        <f ca="1">NPV(DiscountRate,F84:$F$91)*(1+DiscountRate)</f>
        <v>1914405.8533448938</v>
      </c>
      <c r="J48" s="32">
        <f t="shared" si="6"/>
        <v>315622.67302115896</v>
      </c>
      <c r="K48" s="32">
        <f t="shared" si="7"/>
        <v>255451.06325195311</v>
      </c>
      <c r="L48" s="32">
        <f t="shared" ca="1" si="8"/>
        <v>47957.328738307246</v>
      </c>
      <c r="M48" s="32">
        <f t="shared" ca="1" si="4"/>
        <v>-3566.1303971149027</v>
      </c>
      <c r="N48" s="32">
        <f t="shared" ca="1" si="13"/>
        <v>111695.06890462799</v>
      </c>
      <c r="O48" s="33">
        <f t="shared" ca="1" si="9"/>
        <v>0.34192074966496583</v>
      </c>
      <c r="P48" s="34">
        <f t="shared" ca="1" si="10"/>
        <v>1051020.5891047902</v>
      </c>
      <c r="Q48" s="32">
        <f t="shared" ca="1" si="11"/>
        <v>622215.14051233698</v>
      </c>
      <c r="R48" s="32">
        <f t="shared" si="12"/>
        <v>428805.44859245291</v>
      </c>
      <c r="T48" s="34">
        <f t="shared" ca="1" si="0"/>
        <v>0</v>
      </c>
      <c r="U48" s="32">
        <f t="shared" ca="1" si="1"/>
        <v>0</v>
      </c>
      <c r="V48" s="32">
        <f t="shared" ca="1" si="2"/>
        <v>227478.86896484374</v>
      </c>
    </row>
    <row r="49" spans="4:25" x14ac:dyDescent="0.25">
      <c r="E49" s="30">
        <f t="shared" si="5"/>
        <v>9</v>
      </c>
      <c r="F49" s="37">
        <f t="shared" si="3"/>
        <v>663.42043128906221</v>
      </c>
      <c r="G49" s="32">
        <f>NPV(DiscountRate,J49:J$55)*(1+DiscountRate)</f>
        <v>1647019.5564088889</v>
      </c>
      <c r="H49" s="32">
        <f>NPV(DiscountRate,K49:K$55)</f>
        <v>2134889.9840734936</v>
      </c>
      <c r="I49" s="32">
        <f ca="1">NPV(DiscountRate,F85:$F$91)*(1+DiscountRate)</f>
        <v>1706084.5354810404</v>
      </c>
      <c r="J49" s="32">
        <f t="shared" si="6"/>
        <v>299841.539370101</v>
      </c>
      <c r="K49" s="32">
        <f t="shared" si="7"/>
        <v>276284.59253124992</v>
      </c>
      <c r="L49" s="32">
        <f t="shared" ca="1" si="8"/>
        <v>47280.174496621199</v>
      </c>
      <c r="M49" s="32">
        <f t="shared" ca="1" si="4"/>
        <v>-35273.194123924011</v>
      </c>
      <c r="N49" s="32">
        <f t="shared" ca="1" si="13"/>
        <v>106110.31545939628</v>
      </c>
      <c r="O49" s="33">
        <f t="shared" ca="1" si="9"/>
        <v>0.34192074966496488</v>
      </c>
      <c r="P49" s="34">
        <f t="shared" ca="1" si="10"/>
        <v>1015747.3949808662</v>
      </c>
      <c r="Q49" s="32">
        <f t="shared" ca="1" si="11"/>
        <v>557596.96311406302</v>
      </c>
      <c r="R49" s="32">
        <f t="shared" si="12"/>
        <v>458150.43186680309</v>
      </c>
      <c r="T49" s="34">
        <f t="shared" ca="1" si="0"/>
        <v>0</v>
      </c>
      <c r="U49" s="32">
        <f t="shared" ca="1" si="1"/>
        <v>0</v>
      </c>
      <c r="V49" s="32">
        <f t="shared" ca="1" si="2"/>
        <v>276284.59253124992</v>
      </c>
    </row>
    <row r="50" spans="4:25" x14ac:dyDescent="0.25">
      <c r="E50" s="30">
        <f t="shared" si="5"/>
        <v>10</v>
      </c>
      <c r="F50" s="37">
        <f t="shared" si="3"/>
        <v>630.24940972460911</v>
      </c>
      <c r="G50" s="32">
        <f>NPV(DiscountRate,J50:J$55)*(1+DiscountRate)</f>
        <v>1394329.2476351454</v>
      </c>
      <c r="H50" s="32">
        <f>NPV(DiscountRate,K50:K$55)</f>
        <v>1933326.5409848159</v>
      </c>
      <c r="I50" s="32">
        <f ca="1">NPV(DiscountRate,F86:$F$91)*(1+DiscountRate)</f>
        <v>1475176.1091180127</v>
      </c>
      <c r="J50" s="32">
        <f t="shared" si="6"/>
        <v>284849.46240159596</v>
      </c>
      <c r="K50" s="32">
        <f t="shared" si="7"/>
        <v>294396.14122448722</v>
      </c>
      <c r="L50" s="32">
        <f t="shared" ca="1" si="8"/>
        <v>45520.890008386181</v>
      </c>
      <c r="M50" s="32">
        <f t="shared" ca="1" si="4"/>
        <v>-64830.588500931975</v>
      </c>
      <c r="N50" s="32">
        <f t="shared" ca="1" si="13"/>
        <v>100804.79968642688</v>
      </c>
      <c r="O50" s="33">
        <f t="shared" ca="1" si="9"/>
        <v>0.34192074966496627</v>
      </c>
      <c r="P50" s="34">
        <f t="shared" ca="1" si="10"/>
        <v>950916.80647993425</v>
      </c>
      <c r="Q50" s="32">
        <f t="shared" ca="1" si="11"/>
        <v>467427.903287697</v>
      </c>
      <c r="R50" s="32">
        <f t="shared" si="12"/>
        <v>483488.90319223714</v>
      </c>
      <c r="T50" s="34">
        <f t="shared" ca="1" si="0"/>
        <v>0</v>
      </c>
      <c r="U50" s="32">
        <f t="shared" ca="1" si="1"/>
        <v>0</v>
      </c>
      <c r="V50" s="32">
        <f t="shared" ca="1" si="2"/>
        <v>294396.14122448722</v>
      </c>
    </row>
    <row r="51" spans="4:25" x14ac:dyDescent="0.25">
      <c r="E51" s="30">
        <f t="shared" si="5"/>
        <v>11</v>
      </c>
      <c r="F51" s="37">
        <f t="shared" si="3"/>
        <v>598.73693923837868</v>
      </c>
      <c r="G51" s="32">
        <f>NPV(DiscountRate,J51:J$55)*(1+DiscountRate)</f>
        <v>1148311.5777167236</v>
      </c>
      <c r="H51" s="32">
        <f>NPV(DiscountRate,K51:K$55)</f>
        <v>1706596.8286947969</v>
      </c>
      <c r="I51" s="32">
        <f ca="1">NPV(DiscountRate,F87:$F$91)*(1+DiscountRate)</f>
        <v>1223107.9255025596</v>
      </c>
      <c r="J51" s="32">
        <f t="shared" si="6"/>
        <v>270606.98928151617</v>
      </c>
      <c r="K51" s="32">
        <f t="shared" si="7"/>
        <v>310005.82356707269</v>
      </c>
      <c r="L51" s="32">
        <f t="shared" ca="1" si="8"/>
        <v>42753.332851650768</v>
      </c>
      <c r="M51" s="32">
        <f t="shared" ca="1" si="4"/>
        <v>-92410.061136010918</v>
      </c>
      <c r="N51" s="32">
        <f t="shared" ca="1" si="13"/>
        <v>95764.55970210518</v>
      </c>
      <c r="O51" s="33">
        <f t="shared" ca="1" si="9"/>
        <v>0.341920749664965</v>
      </c>
      <c r="P51" s="34">
        <f t="shared" ca="1" si="10"/>
        <v>858506.74534392334</v>
      </c>
      <c r="Q51" s="32">
        <f t="shared" ca="1" si="11"/>
        <v>353358.5940384625</v>
      </c>
      <c r="R51" s="32">
        <f t="shared" si="12"/>
        <v>505148.15130546072</v>
      </c>
      <c r="T51" s="34">
        <f t="shared" ca="1" si="0"/>
        <v>0</v>
      </c>
      <c r="U51" s="32">
        <f t="shared" ca="1" si="1"/>
        <v>0</v>
      </c>
      <c r="V51" s="32">
        <f t="shared" ca="1" si="2"/>
        <v>310005.82356707269</v>
      </c>
    </row>
    <row r="52" spans="4:25" x14ac:dyDescent="0.25">
      <c r="E52" s="30">
        <f t="shared" si="5"/>
        <v>12</v>
      </c>
      <c r="F52" s="37">
        <f t="shared" si="3"/>
        <v>568.80009227645974</v>
      </c>
      <c r="G52" s="32">
        <f>NPV(DiscountRate,J52:J$55)*(1+DiscountRate)</f>
        <v>908424.24903043953</v>
      </c>
      <c r="H52" s="32">
        <f>NPV(DiscountRate,K52:K$55)</f>
        <v>1456321.8941320421</v>
      </c>
      <c r="I52" s="32">
        <f ca="1">NPV(DiscountRate,F88:$F$91)*(1+DiscountRate)</f>
        <v>951173.74282658123</v>
      </c>
      <c r="J52" s="32">
        <f t="shared" si="6"/>
        <v>257076.63981744033</v>
      </c>
      <c r="K52" s="32">
        <f t="shared" si="7"/>
        <v>327584.54801441176</v>
      </c>
      <c r="L52" s="32">
        <f t="shared" ca="1" si="8"/>
        <v>39045.418480647735</v>
      </c>
      <c r="M52" s="32">
        <f t="shared" ca="1" si="4"/>
        <v>-122438.82143332355</v>
      </c>
      <c r="N52" s="32">
        <f t="shared" ca="1" si="13"/>
        <v>90976.331716999877</v>
      </c>
      <c r="O52" s="33">
        <f t="shared" ca="1" si="9"/>
        <v>0.34192074966496488</v>
      </c>
      <c r="P52" s="34">
        <f t="shared" ca="1" si="10"/>
        <v>736067.92391059978</v>
      </c>
      <c r="Q52" s="32">
        <f t="shared" ca="1" si="11"/>
        <v>245937.73377519415</v>
      </c>
      <c r="R52" s="32">
        <f t="shared" si="12"/>
        <v>490130.19013540552</v>
      </c>
      <c r="T52" s="34">
        <f t="shared" ca="1" si="0"/>
        <v>0</v>
      </c>
      <c r="U52" s="32">
        <f t="shared" ca="1" si="1"/>
        <v>0</v>
      </c>
      <c r="V52" s="32">
        <f t="shared" ca="1" si="2"/>
        <v>327584.54801441176</v>
      </c>
    </row>
    <row r="53" spans="4:25" x14ac:dyDescent="0.25">
      <c r="E53" s="30">
        <f t="shared" si="5"/>
        <v>13</v>
      </c>
      <c r="F53" s="37">
        <f t="shared" si="3"/>
        <v>540.36008766263672</v>
      </c>
      <c r="G53" s="32">
        <f>NPV(DiscountRate,J53:J$55)*(1+DiscountRate)</f>
        <v>674144.77553545404</v>
      </c>
      <c r="H53" s="32">
        <f>NPV(DiscountRate,K53:K$55)</f>
        <v>1179708.6124122518</v>
      </c>
      <c r="I53" s="32">
        <f ca="1">NPV(DiscountRate,F89:$F$91)*(1+DiscountRate)</f>
        <v>689578.42227684613</v>
      </c>
      <c r="J53" s="32">
        <f t="shared" si="6"/>
        <v>244222.80782656831</v>
      </c>
      <c r="K53" s="32">
        <f t="shared" si="7"/>
        <v>357063.68779961445</v>
      </c>
      <c r="L53" s="32">
        <f t="shared" ca="1" si="8"/>
        <v>34310.175610800885</v>
      </c>
      <c r="M53" s="32">
        <f t="shared" ca="1" si="4"/>
        <v>-164958.21949339542</v>
      </c>
      <c r="N53" s="32">
        <f t="shared" ca="1" si="13"/>
        <v>86427.515131150198</v>
      </c>
      <c r="O53" s="33">
        <f t="shared" ca="1" si="9"/>
        <v>0.34192074966496611</v>
      </c>
      <c r="P53" s="34">
        <f t="shared" ca="1" si="10"/>
        <v>571109.70441720437</v>
      </c>
      <c r="Q53" s="32">
        <f t="shared" ca="1" si="11"/>
        <v>137685.5565084616</v>
      </c>
      <c r="R53" s="32">
        <f t="shared" si="12"/>
        <v>433424.14790874277</v>
      </c>
      <c r="T53" s="34">
        <f t="shared" ca="1" si="0"/>
        <v>0</v>
      </c>
      <c r="U53" s="32">
        <f t="shared" ca="1" si="1"/>
        <v>0</v>
      </c>
      <c r="V53" s="32">
        <f t="shared" ca="1" si="2"/>
        <v>357063.68779961445</v>
      </c>
    </row>
    <row r="54" spans="4:25" x14ac:dyDescent="0.25">
      <c r="E54" s="30">
        <f t="shared" si="5"/>
        <v>14</v>
      </c>
      <c r="F54" s="37">
        <f t="shared" si="3"/>
        <v>513.34208327950489</v>
      </c>
      <c r="G54" s="32">
        <f>NPV(DiscountRate,J54:J$55)*(1+DiscountRate)</f>
        <v>444969.23657869676</v>
      </c>
      <c r="H54" s="32">
        <f>NPV(DiscountRate,K54:K$55)</f>
        <v>863934.72604706592</v>
      </c>
      <c r="I54" s="32">
        <f ca="1">NPV(DiscountRate,F90:$F$91)*(1+DiscountRate)</f>
        <v>430510.57813832315</v>
      </c>
      <c r="J54" s="32">
        <f t="shared" si="6"/>
        <v>232011.66743523988</v>
      </c>
      <c r="K54" s="32">
        <f t="shared" si="7"/>
        <v>407877.81130853633</v>
      </c>
      <c r="L54" s="32">
        <f t="shared" ca="1" si="8"/>
        <v>28109.24801483555</v>
      </c>
      <c r="M54" s="32">
        <f t="shared" ca="1" si="4"/>
        <v>-229863.03523305344</v>
      </c>
      <c r="N54" s="32">
        <f t="shared" ca="1" si="13"/>
        <v>82106.139374592545</v>
      </c>
      <c r="O54" s="33">
        <f t="shared" ca="1" si="9"/>
        <v>0.34192074966496555</v>
      </c>
      <c r="P54" s="34">
        <f t="shared" ca="1" si="10"/>
        <v>341246.66918415093</v>
      </c>
      <c r="Q54" s="32">
        <f t="shared" ca="1" si="11"/>
        <v>43425.460914372001</v>
      </c>
      <c r="R54" s="32">
        <f t="shared" si="12"/>
        <v>297821.20826977893</v>
      </c>
      <c r="T54" s="34">
        <f t="shared" ca="1" si="0"/>
        <v>0</v>
      </c>
      <c r="U54" s="32">
        <f t="shared" ca="1" si="1"/>
        <v>0</v>
      </c>
      <c r="V54" s="32">
        <f t="shared" ca="1" si="2"/>
        <v>407877.81130853633</v>
      </c>
    </row>
    <row r="55" spans="4:25" x14ac:dyDescent="0.25">
      <c r="E55" s="38">
        <f t="shared" si="5"/>
        <v>15</v>
      </c>
      <c r="F55" s="39">
        <f t="shared" si="3"/>
        <v>487.6749791155296</v>
      </c>
      <c r="G55" s="40">
        <f>NPV(DiscountRate,J55:J$55)*(1+DiscountRate)</f>
        <v>220411.08406347787</v>
      </c>
      <c r="H55" s="40">
        <f>NPV(DiscountRate,K55:K$55)</f>
        <v>486294.63015017682</v>
      </c>
      <c r="I55" s="40">
        <f ca="1">NPV(DiscountRate,F91:$F$91)*(1+DiscountRate)</f>
        <v>188473.42188039789</v>
      </c>
      <c r="J55" s="40">
        <f t="shared" si="6"/>
        <v>220411.08406347787</v>
      </c>
      <c r="K55" s="40">
        <f t="shared" si="7"/>
        <v>503314.94220543298</v>
      </c>
      <c r="L55" s="40">
        <f t="shared" ca="1" si="8"/>
        <v>19658.021363667009</v>
      </c>
      <c r="M55" s="40">
        <f t="shared" ca="1" si="4"/>
        <v>-341246.66918415093</v>
      </c>
      <c r="N55" s="40">
        <f t="shared" ca="1" si="13"/>
        <v>78000.832405862806</v>
      </c>
      <c r="O55" s="41">
        <f t="shared" ca="1" si="9"/>
        <v>0.34192074966496505</v>
      </c>
      <c r="P55" s="42">
        <f t="shared" ca="1" si="10"/>
        <v>0</v>
      </c>
      <c r="Q55" s="40">
        <f t="shared" ca="1" si="11"/>
        <v>0</v>
      </c>
      <c r="R55" s="40">
        <f t="shared" si="12"/>
        <v>0</v>
      </c>
      <c r="T55" s="42">
        <f t="shared" ca="1" si="0"/>
        <v>0</v>
      </c>
      <c r="U55" s="40">
        <f t="shared" ca="1" si="1"/>
        <v>0</v>
      </c>
      <c r="V55" s="40">
        <f t="shared" ca="1" si="2"/>
        <v>503314.94220543298</v>
      </c>
    </row>
    <row r="56" spans="4:25" x14ac:dyDescent="0.25">
      <c r="F56" s="47"/>
      <c r="G56" s="47"/>
      <c r="H56" s="47"/>
      <c r="I56" s="47"/>
      <c r="J56" s="47"/>
      <c r="K56" s="47"/>
      <c r="L56" s="47"/>
      <c r="M56" s="47"/>
      <c r="N56" s="47"/>
      <c r="O56" s="47"/>
      <c r="P56" s="47"/>
      <c r="Q56" s="47"/>
      <c r="R56" s="47"/>
      <c r="S56" s="47"/>
    </row>
    <row r="57" spans="4:25" x14ac:dyDescent="0.25">
      <c r="D57" s="2" t="s">
        <v>87</v>
      </c>
      <c r="G57" s="49" t="s">
        <v>16</v>
      </c>
      <c r="H57" s="50"/>
    </row>
    <row r="58" spans="4:25" x14ac:dyDescent="0.25">
      <c r="E58" s="3" t="s">
        <v>12</v>
      </c>
      <c r="F58" s="53" t="s">
        <v>5</v>
      </c>
      <c r="G58" s="54">
        <v>1</v>
      </c>
      <c r="H58" s="54">
        <f>G58+1</f>
        <v>2</v>
      </c>
      <c r="I58" s="54">
        <f t="shared" ref="I58:U58" si="14">H58+1</f>
        <v>3</v>
      </c>
      <c r="J58" s="54">
        <f t="shared" si="14"/>
        <v>4</v>
      </c>
      <c r="K58" s="54">
        <f t="shared" si="14"/>
        <v>5</v>
      </c>
      <c r="L58" s="54">
        <f t="shared" si="14"/>
        <v>6</v>
      </c>
      <c r="M58" s="54">
        <f t="shared" si="14"/>
        <v>7</v>
      </c>
      <c r="N58" s="54">
        <f t="shared" si="14"/>
        <v>8</v>
      </c>
      <c r="O58" s="54">
        <f t="shared" si="14"/>
        <v>9</v>
      </c>
      <c r="P58" s="54">
        <f t="shared" si="14"/>
        <v>10</v>
      </c>
      <c r="Q58" s="54">
        <f t="shared" si="14"/>
        <v>11</v>
      </c>
      <c r="R58" s="54">
        <f t="shared" si="14"/>
        <v>12</v>
      </c>
      <c r="S58" s="54">
        <f t="shared" si="14"/>
        <v>13</v>
      </c>
      <c r="T58" s="54">
        <f t="shared" si="14"/>
        <v>14</v>
      </c>
      <c r="U58" s="54">
        <f t="shared" si="14"/>
        <v>15</v>
      </c>
    </row>
    <row r="59" spans="4:25" x14ac:dyDescent="0.25">
      <c r="E59" s="3">
        <v>1</v>
      </c>
      <c r="F59" s="82">
        <f t="shared" ref="F59:F73" ca="1" si="15">NPV(DiscountRate,OFFSET(G59,0,E59-1,1,5))</f>
        <v>88.950376391125644</v>
      </c>
      <c r="G59" s="83">
        <v>25</v>
      </c>
      <c r="H59" s="83">
        <f>G59*(1-ClaimTerm)</f>
        <v>21.25</v>
      </c>
      <c r="I59" s="83">
        <f>H59*(1-ClaimTerm)</f>
        <v>18.0625</v>
      </c>
      <c r="J59" s="84">
        <f>I59</f>
        <v>18.0625</v>
      </c>
      <c r="K59" s="15">
        <f>J59*(1-ClaimTerm)</f>
        <v>15.353125</v>
      </c>
      <c r="L59" s="15"/>
      <c r="M59" s="15"/>
      <c r="N59" s="15"/>
      <c r="O59" s="15"/>
      <c r="P59" s="15"/>
      <c r="Q59" s="15"/>
      <c r="R59" s="15"/>
      <c r="S59" s="15"/>
      <c r="T59" s="15"/>
      <c r="U59" s="15"/>
    </row>
    <row r="60" spans="4:25" x14ac:dyDescent="0.25">
      <c r="E60" s="3">
        <f>E59+1</f>
        <v>2</v>
      </c>
      <c r="F60" s="82">
        <f t="shared" ca="1" si="15"/>
        <v>137.73797814816368</v>
      </c>
      <c r="G60" s="15"/>
      <c r="H60" s="83">
        <v>37.5</v>
      </c>
      <c r="I60" s="83">
        <f>H60*(1-ClaimTerm)</f>
        <v>31.875</v>
      </c>
      <c r="J60" s="84">
        <f t="shared" ref="J60:J61" si="16">I60</f>
        <v>31.875</v>
      </c>
      <c r="K60" s="15">
        <f>J60*(1-ClaimTerm)</f>
        <v>27.09375</v>
      </c>
      <c r="L60" s="15">
        <f>K60*(1-ClaimTerm)</f>
        <v>23.029687499999998</v>
      </c>
      <c r="M60" s="15"/>
      <c r="N60" s="15"/>
      <c r="O60" s="15"/>
      <c r="P60" s="15"/>
      <c r="Q60" s="15"/>
      <c r="R60" s="15"/>
      <c r="S60" s="15"/>
      <c r="T60" s="15"/>
      <c r="U60" s="15"/>
    </row>
    <row r="61" spans="4:25" x14ac:dyDescent="0.25">
      <c r="E61" s="3">
        <f t="shared" ref="E61:E73" si="17">E60+1</f>
        <v>3</v>
      </c>
      <c r="F61" s="82">
        <f t="shared" ca="1" si="15"/>
        <v>190.65196778363295</v>
      </c>
      <c r="G61" s="15"/>
      <c r="H61" s="15"/>
      <c r="I61" s="83">
        <v>50</v>
      </c>
      <c r="J61" s="84">
        <f t="shared" si="16"/>
        <v>50</v>
      </c>
      <c r="K61" s="15">
        <f>J61*(1-ClaimTerm)</f>
        <v>42.5</v>
      </c>
      <c r="L61" s="15">
        <f>K61*(1-ClaimTerm)</f>
        <v>36.125</v>
      </c>
      <c r="M61" s="15">
        <f>L61*(1-ClaimTerm)</f>
        <v>30.706250000000001</v>
      </c>
      <c r="N61" s="15"/>
      <c r="O61" s="15"/>
      <c r="P61" s="15"/>
      <c r="Q61" s="15"/>
      <c r="R61" s="15"/>
      <c r="S61" s="15"/>
      <c r="T61" s="15"/>
      <c r="U61" s="15"/>
      <c r="V61" s="15"/>
    </row>
    <row r="62" spans="4:25" x14ac:dyDescent="0.25">
      <c r="E62" s="3">
        <f t="shared" si="17"/>
        <v>4</v>
      </c>
      <c r="F62" s="82">
        <f t="shared" ca="1" si="15"/>
        <v>211.62568678460275</v>
      </c>
      <c r="G62" s="15"/>
      <c r="H62" s="15"/>
      <c r="I62" s="15"/>
      <c r="J62" s="15">
        <v>62.5</v>
      </c>
      <c r="K62" s="15">
        <f>J62*(1-ClaimTerm)</f>
        <v>53.125</v>
      </c>
      <c r="L62" s="15">
        <f>K62*(1-ClaimTerm)</f>
        <v>45.15625</v>
      </c>
      <c r="M62" s="15">
        <f>L62*(1-ClaimTerm)</f>
        <v>38.3828125</v>
      </c>
      <c r="N62" s="15">
        <f>M62*(1-ClaimTerm)</f>
        <v>32.625390625000001</v>
      </c>
      <c r="O62" s="15"/>
      <c r="P62" s="15"/>
      <c r="Q62" s="15"/>
      <c r="R62" s="15"/>
      <c r="S62" s="15"/>
      <c r="T62" s="15"/>
      <c r="U62" s="15"/>
      <c r="V62" s="15"/>
      <c r="W62" s="15"/>
    </row>
    <row r="63" spans="4:25" x14ac:dyDescent="0.25">
      <c r="E63" s="3">
        <f t="shared" si="17"/>
        <v>5</v>
      </c>
      <c r="F63" s="82">
        <f t="shared" ca="1" si="15"/>
        <v>253.95082414152327</v>
      </c>
      <c r="G63" s="15"/>
      <c r="H63" s="15"/>
      <c r="I63" s="15"/>
      <c r="J63" s="15"/>
      <c r="K63" s="15">
        <v>75</v>
      </c>
      <c r="L63" s="15">
        <f>K63*(1-ClaimTerm)</f>
        <v>63.75</v>
      </c>
      <c r="M63" s="15">
        <f>L63*(1-ClaimTerm)</f>
        <v>54.1875</v>
      </c>
      <c r="N63" s="15">
        <f>M63*(1-ClaimTerm)</f>
        <v>46.059374999999996</v>
      </c>
      <c r="O63" s="15">
        <f>N63*(1-ClaimTerm)</f>
        <v>39.150468749999995</v>
      </c>
      <c r="P63" s="15"/>
      <c r="Q63" s="15"/>
      <c r="R63" s="15"/>
      <c r="S63" s="15"/>
      <c r="T63" s="15"/>
      <c r="U63" s="15"/>
      <c r="V63" s="15"/>
      <c r="W63" s="15"/>
      <c r="X63" s="15"/>
    </row>
    <row r="64" spans="4:25" x14ac:dyDescent="0.25">
      <c r="E64" s="3">
        <f t="shared" si="17"/>
        <v>6</v>
      </c>
      <c r="F64" s="82">
        <f t="shared" ca="1" si="15"/>
        <v>296.27596149844379</v>
      </c>
      <c r="G64" s="15"/>
      <c r="H64" s="15"/>
      <c r="I64" s="15"/>
      <c r="J64" s="15"/>
      <c r="K64" s="15"/>
      <c r="L64" s="15">
        <v>87.5</v>
      </c>
      <c r="M64" s="15">
        <f>L64*(1-ClaimTerm)</f>
        <v>74.375</v>
      </c>
      <c r="N64" s="15">
        <f>M64*(1-ClaimTerm)</f>
        <v>63.21875</v>
      </c>
      <c r="O64" s="15">
        <f>N64*(1-ClaimTerm)</f>
        <v>53.735937499999999</v>
      </c>
      <c r="P64" s="15">
        <f>O64*(1-ClaimTerm)</f>
        <v>45.675546874999995</v>
      </c>
      <c r="Q64" s="15"/>
      <c r="R64" s="15"/>
      <c r="S64" s="15"/>
      <c r="T64" s="15"/>
      <c r="U64" s="15"/>
      <c r="V64" s="15"/>
      <c r="W64" s="15"/>
      <c r="X64" s="15"/>
      <c r="Y64" s="15"/>
    </row>
    <row r="65" spans="4:29" x14ac:dyDescent="0.25">
      <c r="E65" s="3">
        <f t="shared" si="17"/>
        <v>7</v>
      </c>
      <c r="F65" s="82">
        <f t="shared" ca="1" si="15"/>
        <v>338.6010988553644</v>
      </c>
      <c r="G65" s="15"/>
      <c r="H65" s="15"/>
      <c r="I65" s="15"/>
      <c r="J65" s="15"/>
      <c r="K65" s="15"/>
      <c r="L65" s="15"/>
      <c r="M65" s="15">
        <v>100</v>
      </c>
      <c r="N65" s="15">
        <f>M65*(1-ClaimTerm)</f>
        <v>85</v>
      </c>
      <c r="O65" s="15">
        <f>N65*(1-ClaimTerm)</f>
        <v>72.25</v>
      </c>
      <c r="P65" s="15">
        <f>O65*(1-ClaimTerm)</f>
        <v>61.412500000000001</v>
      </c>
      <c r="Q65" s="15">
        <f>P65*(1-ClaimTerm)</f>
        <v>52.200625000000002</v>
      </c>
      <c r="R65" s="15"/>
      <c r="S65" s="15"/>
      <c r="T65" s="15"/>
      <c r="U65" s="15"/>
      <c r="V65" s="15"/>
      <c r="W65" s="15"/>
      <c r="X65" s="15"/>
      <c r="Y65" s="15"/>
      <c r="Z65" s="15"/>
    </row>
    <row r="66" spans="4:29" x14ac:dyDescent="0.25">
      <c r="E66" s="3">
        <f t="shared" si="17"/>
        <v>8</v>
      </c>
      <c r="F66" s="82">
        <f t="shared" ca="1" si="15"/>
        <v>380.926236212285</v>
      </c>
      <c r="G66" s="15"/>
      <c r="H66" s="15"/>
      <c r="I66" s="15"/>
      <c r="J66" s="15"/>
      <c r="K66" s="15"/>
      <c r="L66" s="15"/>
      <c r="M66" s="15"/>
      <c r="N66" s="15">
        <v>112.5</v>
      </c>
      <c r="O66" s="15">
        <f>N66*(1-ClaimTerm)</f>
        <v>95.625</v>
      </c>
      <c r="P66" s="15">
        <f>O66*(1-ClaimTerm)</f>
        <v>81.28125</v>
      </c>
      <c r="Q66" s="15">
        <f>P66*(1-ClaimTerm)</f>
        <v>69.089062499999997</v>
      </c>
      <c r="R66" s="15">
        <f>Q66*(1-ClaimTerm)</f>
        <v>58.725703124999995</v>
      </c>
      <c r="S66" s="15"/>
      <c r="T66" s="15"/>
      <c r="U66" s="15"/>
      <c r="V66" s="15"/>
      <c r="W66" s="15"/>
      <c r="X66" s="15"/>
      <c r="Y66" s="15"/>
      <c r="Z66" s="15"/>
      <c r="AA66" s="15"/>
    </row>
    <row r="67" spans="4:29" x14ac:dyDescent="0.25">
      <c r="E67" s="3">
        <f t="shared" si="17"/>
        <v>9</v>
      </c>
      <c r="F67" s="82">
        <f t="shared" ca="1" si="15"/>
        <v>423.2513735692055</v>
      </c>
      <c r="G67" s="15"/>
      <c r="H67" s="15"/>
      <c r="I67" s="15"/>
      <c r="J67" s="15"/>
      <c r="K67" s="15"/>
      <c r="L67" s="15"/>
      <c r="M67" s="15"/>
      <c r="N67" s="15"/>
      <c r="O67" s="15">
        <v>125</v>
      </c>
      <c r="P67" s="15">
        <f>O67*(1-ClaimTerm)</f>
        <v>106.25</v>
      </c>
      <c r="Q67" s="15">
        <f>P67*(1-ClaimTerm)</f>
        <v>90.3125</v>
      </c>
      <c r="R67" s="15">
        <f>Q67*(1-ClaimTerm)</f>
        <v>76.765625</v>
      </c>
      <c r="S67" s="15">
        <f>R67*(1-ClaimTerm)</f>
        <v>65.250781250000003</v>
      </c>
      <c r="T67" s="15"/>
      <c r="U67" s="15"/>
      <c r="V67" s="15"/>
      <c r="W67" s="15"/>
      <c r="X67" s="15"/>
      <c r="Y67" s="15"/>
      <c r="Z67" s="15"/>
      <c r="AA67" s="15"/>
      <c r="AB67" s="15"/>
    </row>
    <row r="68" spans="4:29" x14ac:dyDescent="0.25">
      <c r="E68" s="3">
        <f t="shared" si="17"/>
        <v>10</v>
      </c>
      <c r="F68" s="82">
        <f t="shared" ca="1" si="15"/>
        <v>465.57651092612616</v>
      </c>
      <c r="G68" s="15"/>
      <c r="H68" s="15"/>
      <c r="I68" s="15"/>
      <c r="J68" s="15"/>
      <c r="K68" s="15"/>
      <c r="L68" s="15"/>
      <c r="M68" s="15"/>
      <c r="N68" s="15"/>
      <c r="O68" s="15"/>
      <c r="P68" s="15">
        <v>137.50000000000006</v>
      </c>
      <c r="Q68" s="15">
        <f>P68*(1-ClaimTerm)</f>
        <v>116.87500000000004</v>
      </c>
      <c r="R68" s="15">
        <f>Q68*(1-ClaimTerm)</f>
        <v>99.343750000000028</v>
      </c>
      <c r="S68" s="15">
        <f>R68*(1-ClaimTerm)</f>
        <v>84.442187500000017</v>
      </c>
      <c r="T68" s="15">
        <f>S68*(1-ClaimTerm)</f>
        <v>71.77585937500001</v>
      </c>
      <c r="U68" s="15"/>
      <c r="V68" s="15"/>
      <c r="W68" s="15"/>
      <c r="X68" s="15"/>
      <c r="Y68" s="15"/>
      <c r="Z68" s="15"/>
      <c r="AA68" s="15"/>
      <c r="AB68" s="15"/>
      <c r="AC68" s="15"/>
    </row>
    <row r="69" spans="4:29" x14ac:dyDescent="0.25">
      <c r="E69" s="3">
        <f t="shared" si="17"/>
        <v>11</v>
      </c>
      <c r="F69" s="82">
        <f t="shared" ca="1" si="15"/>
        <v>507.90164828304654</v>
      </c>
      <c r="G69" s="15"/>
      <c r="H69" s="15"/>
      <c r="I69" s="15"/>
      <c r="J69" s="15"/>
      <c r="K69" s="15"/>
      <c r="L69" s="15"/>
      <c r="M69" s="15"/>
      <c r="N69" s="15"/>
      <c r="O69" s="15"/>
      <c r="P69" s="15"/>
      <c r="Q69" s="15">
        <v>150</v>
      </c>
      <c r="R69" s="15">
        <f>Q69*(1-ClaimTerm)</f>
        <v>127.5</v>
      </c>
      <c r="S69" s="15">
        <f>R69*(1-ClaimTerm)</f>
        <v>108.375</v>
      </c>
      <c r="T69" s="15">
        <f>S69*(1-ClaimTerm)</f>
        <v>92.118749999999991</v>
      </c>
      <c r="U69" s="15">
        <f>T69*(1-ClaimTerm)</f>
        <v>78.300937499999989</v>
      </c>
      <c r="V69" s="15"/>
      <c r="W69" s="15"/>
      <c r="X69" s="15"/>
      <c r="Y69" s="15"/>
      <c r="Z69" s="15"/>
      <c r="AA69" s="15"/>
      <c r="AB69" s="15"/>
      <c r="AC69" s="15"/>
    </row>
    <row r="70" spans="4:29" x14ac:dyDescent="0.25">
      <c r="E70" s="3">
        <f t="shared" si="17"/>
        <v>12</v>
      </c>
      <c r="F70" s="82">
        <f t="shared" ca="1" si="15"/>
        <v>500.90427463060422</v>
      </c>
      <c r="G70" s="15"/>
      <c r="H70" s="15"/>
      <c r="I70" s="15"/>
      <c r="J70" s="15"/>
      <c r="K70" s="15"/>
      <c r="L70" s="15"/>
      <c r="M70" s="15"/>
      <c r="N70" s="15"/>
      <c r="O70" s="15"/>
      <c r="P70" s="15"/>
      <c r="Q70" s="15"/>
      <c r="R70" s="15">
        <v>170</v>
      </c>
      <c r="S70" s="15">
        <f>R70*(1-ClaimTerm)</f>
        <v>144.5</v>
      </c>
      <c r="T70" s="15">
        <f>S70*(1-ClaimTerm)</f>
        <v>122.825</v>
      </c>
      <c r="U70" s="15">
        <f>T70*(1-ClaimTerm)</f>
        <v>104.40125</v>
      </c>
      <c r="V70" s="15"/>
      <c r="W70" s="15"/>
      <c r="X70" s="15"/>
      <c r="Y70" s="15"/>
      <c r="Z70" s="15"/>
      <c r="AA70" s="15"/>
      <c r="AB70" s="15"/>
      <c r="AC70" s="15"/>
    </row>
    <row r="71" spans="4:29" x14ac:dyDescent="0.25">
      <c r="E71" s="3">
        <f t="shared" si="17"/>
        <v>13</v>
      </c>
      <c r="F71" s="82">
        <f t="shared" ca="1" si="15"/>
        <v>506.37746775752123</v>
      </c>
      <c r="G71" s="15"/>
      <c r="H71" s="15"/>
      <c r="I71" s="15"/>
      <c r="J71" s="15"/>
      <c r="K71" s="15"/>
      <c r="L71" s="15"/>
      <c r="M71" s="15"/>
      <c r="N71" s="15"/>
      <c r="O71" s="15"/>
      <c r="P71" s="15"/>
      <c r="Q71" s="15"/>
      <c r="R71" s="15"/>
      <c r="S71" s="15">
        <f>'Base Case'!S72</f>
        <v>210</v>
      </c>
      <c r="T71" s="15">
        <f>S71*(1-ClaimTerm)</f>
        <v>178.5</v>
      </c>
      <c r="U71" s="15">
        <f>T71*(1-ClaimTerm)</f>
        <v>151.72499999999999</v>
      </c>
      <c r="V71" s="15"/>
      <c r="W71" s="15"/>
      <c r="X71" s="15"/>
      <c r="Y71" s="15"/>
      <c r="Z71" s="15"/>
      <c r="AA71" s="15"/>
      <c r="AB71" s="15"/>
      <c r="AC71" s="15"/>
    </row>
    <row r="72" spans="4:29" x14ac:dyDescent="0.25">
      <c r="E72" s="3">
        <f t="shared" si="17"/>
        <v>14</v>
      </c>
      <c r="F72" s="82">
        <f t="shared" ca="1" si="15"/>
        <v>483.90860930243417</v>
      </c>
      <c r="G72" s="15"/>
      <c r="H72" s="15"/>
      <c r="I72" s="15"/>
      <c r="J72" s="15"/>
      <c r="K72" s="15"/>
      <c r="L72" s="15"/>
      <c r="M72" s="15"/>
      <c r="N72" s="15"/>
      <c r="O72" s="15"/>
      <c r="P72" s="15"/>
      <c r="Q72" s="15"/>
      <c r="R72" s="15"/>
      <c r="S72" s="15"/>
      <c r="T72" s="15">
        <f>'Base Case'!T73</f>
        <v>275</v>
      </c>
      <c r="U72" s="15">
        <f>T72*(1-ClaimTerm)</f>
        <v>233.75</v>
      </c>
      <c r="V72" s="15"/>
      <c r="W72" s="15"/>
      <c r="X72" s="15"/>
      <c r="Y72" s="15"/>
      <c r="Z72" s="15"/>
      <c r="AA72" s="15"/>
      <c r="AB72" s="15"/>
      <c r="AC72" s="15"/>
    </row>
    <row r="73" spans="4:29" x14ac:dyDescent="0.25">
      <c r="E73" s="3">
        <f t="shared" si="17"/>
        <v>15</v>
      </c>
      <c r="F73" s="82">
        <f t="shared" ca="1" si="15"/>
        <v>386.47342995169083</v>
      </c>
      <c r="G73" s="15"/>
      <c r="H73" s="15"/>
      <c r="I73" s="15"/>
      <c r="J73" s="15"/>
      <c r="K73" s="15"/>
      <c r="L73" s="15"/>
      <c r="M73" s="15"/>
      <c r="N73" s="15"/>
      <c r="O73" s="15"/>
      <c r="P73" s="15"/>
      <c r="Q73" s="15"/>
      <c r="R73" s="15"/>
      <c r="S73" s="15"/>
      <c r="T73" s="15"/>
      <c r="U73" s="15">
        <f>'Base Case'!U74</f>
        <v>400</v>
      </c>
      <c r="V73" s="15"/>
      <c r="W73" s="15"/>
      <c r="X73" s="15"/>
      <c r="Y73" s="15"/>
      <c r="Z73" s="15"/>
      <c r="AA73" s="15"/>
      <c r="AB73" s="15"/>
      <c r="AC73" s="15"/>
    </row>
    <row r="74" spans="4:29" x14ac:dyDescent="0.25">
      <c r="F74" s="15"/>
      <c r="G74" s="58"/>
      <c r="H74" s="58"/>
      <c r="I74" s="58"/>
      <c r="J74" s="58"/>
      <c r="K74" s="58"/>
      <c r="L74" s="58"/>
      <c r="M74" s="58"/>
      <c r="N74" s="58"/>
      <c r="O74" s="58"/>
      <c r="P74" s="58"/>
      <c r="Q74" s="58"/>
      <c r="R74" s="58"/>
      <c r="S74" s="58"/>
      <c r="T74" s="58"/>
    </row>
    <row r="75" spans="4:29" x14ac:dyDescent="0.25">
      <c r="D75" s="2" t="s">
        <v>40</v>
      </c>
      <c r="F75" s="15"/>
      <c r="G75" s="49" t="s">
        <v>16</v>
      </c>
      <c r="H75" s="58"/>
      <c r="I75" s="58"/>
      <c r="J75" s="58"/>
      <c r="K75" s="58"/>
      <c r="L75" s="58"/>
      <c r="M75" s="58"/>
      <c r="N75" s="58"/>
      <c r="O75" s="58"/>
      <c r="P75" s="58"/>
      <c r="Q75" s="58"/>
      <c r="R75" s="58"/>
      <c r="S75" s="58"/>
      <c r="T75" s="58"/>
    </row>
    <row r="76" spans="4:29" x14ac:dyDescent="0.25">
      <c r="E76" s="3" t="s">
        <v>12</v>
      </c>
      <c r="F76" s="53" t="s">
        <v>5</v>
      </c>
      <c r="G76" s="54">
        <v>1</v>
      </c>
      <c r="H76" s="54">
        <f>G76+1</f>
        <v>2</v>
      </c>
      <c r="I76" s="54">
        <f t="shared" ref="I76:U76" si="18">H76+1</f>
        <v>3</v>
      </c>
      <c r="J76" s="54">
        <f t="shared" si="18"/>
        <v>4</v>
      </c>
      <c r="K76" s="54">
        <f t="shared" si="18"/>
        <v>5</v>
      </c>
      <c r="L76" s="54">
        <f t="shared" si="18"/>
        <v>6</v>
      </c>
      <c r="M76" s="54">
        <f t="shared" si="18"/>
        <v>7</v>
      </c>
      <c r="N76" s="54">
        <f t="shared" si="18"/>
        <v>8</v>
      </c>
      <c r="O76" s="54">
        <f t="shared" si="18"/>
        <v>9</v>
      </c>
      <c r="P76" s="54">
        <f t="shared" si="18"/>
        <v>10</v>
      </c>
      <c r="Q76" s="54">
        <f t="shared" si="18"/>
        <v>11</v>
      </c>
      <c r="R76" s="54">
        <f t="shared" si="18"/>
        <v>12</v>
      </c>
      <c r="S76" s="54">
        <f t="shared" si="18"/>
        <v>13</v>
      </c>
      <c r="T76" s="54">
        <f t="shared" si="18"/>
        <v>14</v>
      </c>
      <c r="U76" s="54">
        <f t="shared" si="18"/>
        <v>15</v>
      </c>
    </row>
    <row r="77" spans="4:29" x14ac:dyDescent="0.25">
      <c r="E77" s="3">
        <v>1</v>
      </c>
      <c r="F77" s="82">
        <f t="shared" ref="F77:U91" ca="1" si="19">F59*$F41</f>
        <v>88950.376391125639</v>
      </c>
      <c r="G77" s="15">
        <f t="shared" si="19"/>
        <v>25000</v>
      </c>
      <c r="H77" s="15">
        <f t="shared" si="19"/>
        <v>21250</v>
      </c>
      <c r="I77" s="15">
        <f t="shared" si="19"/>
        <v>18062.5</v>
      </c>
      <c r="J77" s="15">
        <f t="shared" si="19"/>
        <v>18062.5</v>
      </c>
      <c r="K77" s="15">
        <f t="shared" si="19"/>
        <v>15353.125</v>
      </c>
      <c r="L77" s="15">
        <f t="shared" si="19"/>
        <v>0</v>
      </c>
      <c r="M77" s="15">
        <f t="shared" si="19"/>
        <v>0</v>
      </c>
      <c r="N77" s="15">
        <f t="shared" si="19"/>
        <v>0</v>
      </c>
      <c r="O77" s="15">
        <f t="shared" si="19"/>
        <v>0</v>
      </c>
      <c r="P77" s="15">
        <f t="shared" si="19"/>
        <v>0</v>
      </c>
      <c r="Q77" s="15">
        <f t="shared" si="19"/>
        <v>0</v>
      </c>
      <c r="R77" s="15">
        <f t="shared" si="19"/>
        <v>0</v>
      </c>
      <c r="S77" s="15">
        <f t="shared" si="19"/>
        <v>0</v>
      </c>
      <c r="T77" s="15">
        <f t="shared" si="19"/>
        <v>0</v>
      </c>
      <c r="U77" s="15">
        <f t="shared" si="19"/>
        <v>0</v>
      </c>
    </row>
    <row r="78" spans="4:29" x14ac:dyDescent="0.25">
      <c r="E78" s="3">
        <f>E77+1</f>
        <v>2</v>
      </c>
      <c r="F78" s="82">
        <f t="shared" ca="1" si="19"/>
        <v>130851.0792407555</v>
      </c>
      <c r="G78" s="15">
        <f t="shared" si="19"/>
        <v>0</v>
      </c>
      <c r="H78" s="15">
        <f t="shared" si="19"/>
        <v>35625</v>
      </c>
      <c r="I78" s="15">
        <f t="shared" si="19"/>
        <v>30281.25</v>
      </c>
      <c r="J78" s="15">
        <f t="shared" si="19"/>
        <v>30281.25</v>
      </c>
      <c r="K78" s="15">
        <f t="shared" si="19"/>
        <v>25739.0625</v>
      </c>
      <c r="L78" s="15">
        <f t="shared" si="19"/>
        <v>21878.203124999996</v>
      </c>
      <c r="M78" s="15">
        <f t="shared" si="19"/>
        <v>0</v>
      </c>
      <c r="N78" s="15">
        <f t="shared" si="19"/>
        <v>0</v>
      </c>
      <c r="O78" s="15">
        <f t="shared" si="19"/>
        <v>0</v>
      </c>
      <c r="P78" s="15">
        <f t="shared" si="19"/>
        <v>0</v>
      </c>
      <c r="Q78" s="15">
        <f t="shared" si="19"/>
        <v>0</v>
      </c>
      <c r="R78" s="15">
        <f t="shared" si="19"/>
        <v>0</v>
      </c>
      <c r="S78" s="15">
        <f t="shared" si="19"/>
        <v>0</v>
      </c>
      <c r="T78" s="15">
        <f t="shared" si="19"/>
        <v>0</v>
      </c>
      <c r="U78" s="15">
        <f t="shared" si="19"/>
        <v>0</v>
      </c>
    </row>
    <row r="79" spans="4:29" x14ac:dyDescent="0.25">
      <c r="E79" s="3">
        <f t="shared" ref="E79:E91" si="20">E78+1</f>
        <v>3</v>
      </c>
      <c r="F79" s="82">
        <f t="shared" ca="1" si="19"/>
        <v>172063.40092472875</v>
      </c>
      <c r="G79" s="15">
        <f t="shared" si="19"/>
        <v>0</v>
      </c>
      <c r="H79" s="15">
        <f t="shared" si="19"/>
        <v>0</v>
      </c>
      <c r="I79" s="15">
        <f t="shared" si="19"/>
        <v>45125</v>
      </c>
      <c r="J79" s="15">
        <f t="shared" si="19"/>
        <v>45125</v>
      </c>
      <c r="K79" s="15">
        <f t="shared" si="19"/>
        <v>38356.25</v>
      </c>
      <c r="L79" s="15">
        <f t="shared" si="19"/>
        <v>32602.8125</v>
      </c>
      <c r="M79" s="15">
        <f t="shared" si="19"/>
        <v>27712.390625</v>
      </c>
      <c r="N79" s="15">
        <f t="shared" si="19"/>
        <v>0</v>
      </c>
      <c r="O79" s="15">
        <f t="shared" si="19"/>
        <v>0</v>
      </c>
      <c r="P79" s="15">
        <f t="shared" si="19"/>
        <v>0</v>
      </c>
      <c r="Q79" s="15">
        <f t="shared" si="19"/>
        <v>0</v>
      </c>
      <c r="R79" s="15">
        <f t="shared" si="19"/>
        <v>0</v>
      </c>
      <c r="S79" s="15">
        <f t="shared" si="19"/>
        <v>0</v>
      </c>
      <c r="T79" s="15">
        <f t="shared" si="19"/>
        <v>0</v>
      </c>
      <c r="U79" s="15">
        <f t="shared" si="19"/>
        <v>0</v>
      </c>
    </row>
    <row r="80" spans="4:29" x14ac:dyDescent="0.25">
      <c r="E80" s="3">
        <f t="shared" si="20"/>
        <v>4</v>
      </c>
      <c r="F80" s="82">
        <f t="shared" ca="1" si="19"/>
        <v>181442.57320694879</v>
      </c>
      <c r="G80" s="15">
        <f t="shared" si="19"/>
        <v>0</v>
      </c>
      <c r="H80" s="15">
        <f t="shared" si="19"/>
        <v>0</v>
      </c>
      <c r="I80" s="15">
        <f t="shared" si="19"/>
        <v>0</v>
      </c>
      <c r="J80" s="15">
        <f t="shared" si="19"/>
        <v>53585.9375</v>
      </c>
      <c r="K80" s="15">
        <f t="shared" si="19"/>
        <v>45548.046875</v>
      </c>
      <c r="L80" s="15">
        <f t="shared" si="19"/>
        <v>38715.83984375</v>
      </c>
      <c r="M80" s="15">
        <f t="shared" si="19"/>
        <v>32908.4638671875</v>
      </c>
      <c r="N80" s="15">
        <f t="shared" si="19"/>
        <v>27972.194287109378</v>
      </c>
      <c r="O80" s="15">
        <f t="shared" si="19"/>
        <v>0</v>
      </c>
      <c r="P80" s="15">
        <f t="shared" si="19"/>
        <v>0</v>
      </c>
      <c r="Q80" s="15">
        <f t="shared" si="19"/>
        <v>0</v>
      </c>
      <c r="R80" s="15">
        <f t="shared" si="19"/>
        <v>0</v>
      </c>
      <c r="S80" s="15">
        <f t="shared" si="19"/>
        <v>0</v>
      </c>
      <c r="T80" s="15">
        <f t="shared" si="19"/>
        <v>0</v>
      </c>
      <c r="U80" s="15">
        <f t="shared" si="19"/>
        <v>0</v>
      </c>
    </row>
    <row r="81" spans="4:21" x14ac:dyDescent="0.25">
      <c r="E81" s="3">
        <f t="shared" si="20"/>
        <v>5</v>
      </c>
      <c r="F81" s="82">
        <f t="shared" ca="1" si="19"/>
        <v>206844.53345592157</v>
      </c>
      <c r="G81" s="15">
        <f t="shared" si="19"/>
        <v>0</v>
      </c>
      <c r="H81" s="15">
        <f t="shared" si="19"/>
        <v>0</v>
      </c>
      <c r="I81" s="15">
        <f t="shared" si="19"/>
        <v>0</v>
      </c>
      <c r="J81" s="15">
        <f t="shared" si="19"/>
        <v>0</v>
      </c>
      <c r="K81" s="15">
        <f t="shared" si="19"/>
        <v>61087.968749999993</v>
      </c>
      <c r="L81" s="15">
        <f t="shared" si="19"/>
        <v>51924.773437499993</v>
      </c>
      <c r="M81" s="15">
        <f t="shared" si="19"/>
        <v>44136.057421874997</v>
      </c>
      <c r="N81" s="15">
        <f t="shared" si="19"/>
        <v>37515.648808593745</v>
      </c>
      <c r="O81" s="15">
        <f t="shared" si="19"/>
        <v>31888.301487304678</v>
      </c>
      <c r="P81" s="15">
        <f t="shared" si="19"/>
        <v>0</v>
      </c>
      <c r="Q81" s="15">
        <f t="shared" si="19"/>
        <v>0</v>
      </c>
      <c r="R81" s="15">
        <f t="shared" si="19"/>
        <v>0</v>
      </c>
      <c r="S81" s="15">
        <f t="shared" si="19"/>
        <v>0</v>
      </c>
      <c r="T81" s="15">
        <f t="shared" si="19"/>
        <v>0</v>
      </c>
      <c r="U81" s="15">
        <f t="shared" si="19"/>
        <v>0</v>
      </c>
    </row>
    <row r="82" spans="4:21" x14ac:dyDescent="0.25">
      <c r="E82" s="3">
        <f t="shared" si="20"/>
        <v>6</v>
      </c>
      <c r="F82" s="82">
        <f t="shared" ca="1" si="19"/>
        <v>229252.6912469797</v>
      </c>
      <c r="G82" s="15">
        <f t="shared" si="19"/>
        <v>0</v>
      </c>
      <c r="H82" s="15">
        <f t="shared" si="19"/>
        <v>0</v>
      </c>
      <c r="I82" s="15">
        <f t="shared" si="19"/>
        <v>0</v>
      </c>
      <c r="J82" s="15">
        <f t="shared" si="19"/>
        <v>0</v>
      </c>
      <c r="K82" s="15">
        <f t="shared" si="19"/>
        <v>0</v>
      </c>
      <c r="L82" s="15">
        <f t="shared" si="19"/>
        <v>67705.832031249985</v>
      </c>
      <c r="M82" s="15">
        <f t="shared" si="19"/>
        <v>57549.957226562488</v>
      </c>
      <c r="N82" s="15">
        <f t="shared" si="19"/>
        <v>48917.463642578114</v>
      </c>
      <c r="O82" s="15">
        <f t="shared" si="19"/>
        <v>41579.844096191395</v>
      </c>
      <c r="P82" s="15">
        <f t="shared" si="19"/>
        <v>35342.867481762682</v>
      </c>
      <c r="Q82" s="15">
        <f t="shared" si="19"/>
        <v>0</v>
      </c>
      <c r="R82" s="15">
        <f t="shared" si="19"/>
        <v>0</v>
      </c>
      <c r="S82" s="15">
        <f t="shared" si="19"/>
        <v>0</v>
      </c>
      <c r="T82" s="15">
        <f t="shared" si="19"/>
        <v>0</v>
      </c>
      <c r="U82" s="15">
        <f t="shared" si="19"/>
        <v>0</v>
      </c>
    </row>
    <row r="83" spans="4:21" x14ac:dyDescent="0.25">
      <c r="E83" s="3">
        <f t="shared" si="20"/>
        <v>7</v>
      </c>
      <c r="F83" s="82">
        <f t="shared" ca="1" si="19"/>
        <v>248902.92192529226</v>
      </c>
      <c r="G83" s="15">
        <f t="shared" si="19"/>
        <v>0</v>
      </c>
      <c r="H83" s="15">
        <f t="shared" si="19"/>
        <v>0</v>
      </c>
      <c r="I83" s="15">
        <f t="shared" si="19"/>
        <v>0</v>
      </c>
      <c r="J83" s="15">
        <f t="shared" si="19"/>
        <v>0</v>
      </c>
      <c r="K83" s="15">
        <f t="shared" si="19"/>
        <v>0</v>
      </c>
      <c r="L83" s="15">
        <f t="shared" si="19"/>
        <v>0</v>
      </c>
      <c r="M83" s="15">
        <f t="shared" si="19"/>
        <v>73509.18906249998</v>
      </c>
      <c r="N83" s="15">
        <f t="shared" si="19"/>
        <v>62482.810703124982</v>
      </c>
      <c r="O83" s="15">
        <f t="shared" si="19"/>
        <v>53110.389097656232</v>
      </c>
      <c r="P83" s="15">
        <f t="shared" si="19"/>
        <v>45143.830733007802</v>
      </c>
      <c r="Q83" s="15">
        <f t="shared" si="19"/>
        <v>38372.256123056628</v>
      </c>
      <c r="R83" s="15">
        <f t="shared" si="19"/>
        <v>0</v>
      </c>
      <c r="S83" s="15">
        <f t="shared" si="19"/>
        <v>0</v>
      </c>
      <c r="T83" s="15">
        <f t="shared" si="19"/>
        <v>0</v>
      </c>
      <c r="U83" s="15">
        <f t="shared" si="19"/>
        <v>0</v>
      </c>
    </row>
    <row r="84" spans="4:21" x14ac:dyDescent="0.25">
      <c r="E84" s="3">
        <f t="shared" si="20"/>
        <v>8</v>
      </c>
      <c r="F84" s="82">
        <f t="shared" ca="1" si="19"/>
        <v>266014.99780765612</v>
      </c>
      <c r="G84" s="15">
        <f t="shared" si="19"/>
        <v>0</v>
      </c>
      <c r="H84" s="15">
        <f t="shared" si="19"/>
        <v>0</v>
      </c>
      <c r="I84" s="15">
        <f t="shared" si="19"/>
        <v>0</v>
      </c>
      <c r="J84" s="15">
        <f t="shared" si="19"/>
        <v>0</v>
      </c>
      <c r="K84" s="15">
        <f t="shared" si="19"/>
        <v>0</v>
      </c>
      <c r="L84" s="15">
        <f t="shared" si="19"/>
        <v>0</v>
      </c>
      <c r="M84" s="15">
        <f t="shared" si="19"/>
        <v>0</v>
      </c>
      <c r="N84" s="15">
        <f t="shared" si="19"/>
        <v>78562.945810546851</v>
      </c>
      <c r="O84" s="15">
        <f t="shared" si="19"/>
        <v>66778.503938964815</v>
      </c>
      <c r="P84" s="15">
        <f t="shared" si="19"/>
        <v>56761.728348120094</v>
      </c>
      <c r="Q84" s="15">
        <f t="shared" si="19"/>
        <v>48247.469095902081</v>
      </c>
      <c r="R84" s="15">
        <f t="shared" si="19"/>
        <v>41010.348731516766</v>
      </c>
      <c r="S84" s="15">
        <f t="shared" si="19"/>
        <v>0</v>
      </c>
      <c r="T84" s="15">
        <f t="shared" si="19"/>
        <v>0</v>
      </c>
      <c r="U84" s="15">
        <f t="shared" si="19"/>
        <v>0</v>
      </c>
    </row>
    <row r="85" spans="4:21" x14ac:dyDescent="0.25">
      <c r="E85" s="3">
        <f t="shared" si="20"/>
        <v>9</v>
      </c>
      <c r="F85" s="82">
        <f t="shared" ca="1" si="19"/>
        <v>280793.60879697028</v>
      </c>
      <c r="G85" s="15">
        <f t="shared" si="19"/>
        <v>0</v>
      </c>
      <c r="H85" s="15">
        <f t="shared" si="19"/>
        <v>0</v>
      </c>
      <c r="I85" s="15">
        <f t="shared" si="19"/>
        <v>0</v>
      </c>
      <c r="J85" s="15">
        <f t="shared" si="19"/>
        <v>0</v>
      </c>
      <c r="K85" s="15">
        <f t="shared" si="19"/>
        <v>0</v>
      </c>
      <c r="L85" s="15">
        <f t="shared" si="19"/>
        <v>0</v>
      </c>
      <c r="M85" s="15">
        <f t="shared" si="19"/>
        <v>0</v>
      </c>
      <c r="N85" s="15">
        <f t="shared" si="19"/>
        <v>0</v>
      </c>
      <c r="O85" s="15">
        <f t="shared" si="19"/>
        <v>82927.553911132782</v>
      </c>
      <c r="P85" s="15">
        <f t="shared" si="19"/>
        <v>70488.420824462853</v>
      </c>
      <c r="Q85" s="15">
        <f t="shared" si="19"/>
        <v>59915.157700793432</v>
      </c>
      <c r="R85" s="15">
        <f t="shared" si="19"/>
        <v>50927.884045674415</v>
      </c>
      <c r="S85" s="15">
        <f t="shared" si="19"/>
        <v>43288.701438823256</v>
      </c>
      <c r="T85" s="15">
        <f t="shared" si="19"/>
        <v>0</v>
      </c>
      <c r="U85" s="15">
        <f t="shared" si="19"/>
        <v>0</v>
      </c>
    </row>
    <row r="86" spans="4:21" x14ac:dyDescent="0.25">
      <c r="E86" s="3">
        <f t="shared" si="20"/>
        <v>10</v>
      </c>
      <c r="F86" s="82">
        <f t="shared" ca="1" si="19"/>
        <v>293429.32119283406</v>
      </c>
      <c r="G86" s="15">
        <f t="shared" si="19"/>
        <v>0</v>
      </c>
      <c r="H86" s="15">
        <f t="shared" si="19"/>
        <v>0</v>
      </c>
      <c r="I86" s="15">
        <f t="shared" si="19"/>
        <v>0</v>
      </c>
      <c r="J86" s="15">
        <f t="shared" si="19"/>
        <v>0</v>
      </c>
      <c r="K86" s="15">
        <f t="shared" si="19"/>
        <v>0</v>
      </c>
      <c r="L86" s="15">
        <f t="shared" si="19"/>
        <v>0</v>
      </c>
      <c r="M86" s="15">
        <f t="shared" si="19"/>
        <v>0</v>
      </c>
      <c r="N86" s="15">
        <f t="shared" si="19"/>
        <v>0</v>
      </c>
      <c r="O86" s="15">
        <f t="shared" si="19"/>
        <v>0</v>
      </c>
      <c r="P86" s="15">
        <f t="shared" si="19"/>
        <v>86659.293837133795</v>
      </c>
      <c r="Q86" s="15">
        <f t="shared" si="19"/>
        <v>73660.39976156372</v>
      </c>
      <c r="R86" s="15">
        <f t="shared" si="19"/>
        <v>62611.339797329158</v>
      </c>
      <c r="S86" s="15">
        <f t="shared" si="19"/>
        <v>53219.638827729774</v>
      </c>
      <c r="T86" s="15">
        <f t="shared" si="19"/>
        <v>45236.693003570304</v>
      </c>
      <c r="U86" s="15">
        <f t="shared" si="19"/>
        <v>0</v>
      </c>
    </row>
    <row r="87" spans="4:21" x14ac:dyDescent="0.25">
      <c r="E87" s="3">
        <f t="shared" si="20"/>
        <v>11</v>
      </c>
      <c r="F87" s="82">
        <f t="shared" ca="1" si="19"/>
        <v>304099.47832711879</v>
      </c>
      <c r="G87" s="15">
        <f t="shared" si="19"/>
        <v>0</v>
      </c>
      <c r="H87" s="15">
        <f t="shared" si="19"/>
        <v>0</v>
      </c>
      <c r="I87" s="15">
        <f t="shared" si="19"/>
        <v>0</v>
      </c>
      <c r="J87" s="15">
        <f t="shared" si="19"/>
        <v>0</v>
      </c>
      <c r="K87" s="15">
        <f t="shared" si="19"/>
        <v>0</v>
      </c>
      <c r="L87" s="15">
        <f t="shared" si="19"/>
        <v>0</v>
      </c>
      <c r="M87" s="15">
        <f t="shared" si="19"/>
        <v>0</v>
      </c>
      <c r="N87" s="15">
        <f t="shared" si="19"/>
        <v>0</v>
      </c>
      <c r="O87" s="15">
        <f t="shared" si="19"/>
        <v>0</v>
      </c>
      <c r="P87" s="15">
        <f t="shared" si="19"/>
        <v>0</v>
      </c>
      <c r="Q87" s="15">
        <f t="shared" si="19"/>
        <v>89810.540885756796</v>
      </c>
      <c r="R87" s="15">
        <f t="shared" si="19"/>
        <v>76338.959752893279</v>
      </c>
      <c r="S87" s="15">
        <f t="shared" si="19"/>
        <v>64888.115789959287</v>
      </c>
      <c r="T87" s="15">
        <f t="shared" si="19"/>
        <v>55154.89842146539</v>
      </c>
      <c r="U87" s="15">
        <f t="shared" si="19"/>
        <v>46881.663658245583</v>
      </c>
    </row>
    <row r="88" spans="4:21" x14ac:dyDescent="0.25">
      <c r="E88" s="3">
        <f t="shared" si="20"/>
        <v>12</v>
      </c>
      <c r="F88" s="82">
        <f t="shared" ca="1" si="19"/>
        <v>284914.3976315608</v>
      </c>
      <c r="G88" s="15">
        <f t="shared" si="19"/>
        <v>0</v>
      </c>
      <c r="H88" s="15">
        <f t="shared" si="19"/>
        <v>0</v>
      </c>
      <c r="I88" s="15">
        <f t="shared" si="19"/>
        <v>0</v>
      </c>
      <c r="J88" s="15">
        <f t="shared" si="19"/>
        <v>0</v>
      </c>
      <c r="K88" s="15">
        <f t="shared" si="19"/>
        <v>0</v>
      </c>
      <c r="L88" s="15">
        <f t="shared" si="19"/>
        <v>0</v>
      </c>
      <c r="M88" s="15">
        <f t="shared" si="19"/>
        <v>0</v>
      </c>
      <c r="N88" s="15">
        <f t="shared" si="19"/>
        <v>0</v>
      </c>
      <c r="O88" s="15">
        <f t="shared" si="19"/>
        <v>0</v>
      </c>
      <c r="P88" s="15">
        <f t="shared" si="19"/>
        <v>0</v>
      </c>
      <c r="Q88" s="15">
        <f t="shared" si="19"/>
        <v>0</v>
      </c>
      <c r="R88" s="15">
        <f t="shared" si="19"/>
        <v>96696.015686998158</v>
      </c>
      <c r="S88" s="15">
        <f t="shared" si="19"/>
        <v>82191.613333948437</v>
      </c>
      <c r="T88" s="15">
        <f t="shared" si="19"/>
        <v>69862.871333856165</v>
      </c>
      <c r="U88" s="15">
        <f t="shared" si="19"/>
        <v>59383.440633777747</v>
      </c>
    </row>
    <row r="89" spans="4:21" x14ac:dyDescent="0.25">
      <c r="E89" s="3">
        <f t="shared" si="20"/>
        <v>13</v>
      </c>
      <c r="F89" s="82">
        <f t="shared" ca="1" si="19"/>
        <v>273626.17286783818</v>
      </c>
      <c r="G89" s="15">
        <f t="shared" si="19"/>
        <v>0</v>
      </c>
      <c r="H89" s="15">
        <f t="shared" si="19"/>
        <v>0</v>
      </c>
      <c r="I89" s="15">
        <f t="shared" si="19"/>
        <v>0</v>
      </c>
      <c r="J89" s="15">
        <f t="shared" si="19"/>
        <v>0</v>
      </c>
      <c r="K89" s="15">
        <f t="shared" si="19"/>
        <v>0</v>
      </c>
      <c r="L89" s="15">
        <f t="shared" si="19"/>
        <v>0</v>
      </c>
      <c r="M89" s="15">
        <f t="shared" si="19"/>
        <v>0</v>
      </c>
      <c r="N89" s="15">
        <f t="shared" si="19"/>
        <v>0</v>
      </c>
      <c r="O89" s="15">
        <f t="shared" si="19"/>
        <v>0</v>
      </c>
      <c r="P89" s="15">
        <f t="shared" si="19"/>
        <v>0</v>
      </c>
      <c r="Q89" s="15">
        <f t="shared" si="19"/>
        <v>0</v>
      </c>
      <c r="R89" s="15">
        <f t="shared" si="19"/>
        <v>0</v>
      </c>
      <c r="S89" s="15">
        <f t="shared" si="19"/>
        <v>113475.61840915371</v>
      </c>
      <c r="T89" s="15">
        <f t="shared" si="19"/>
        <v>96454.275647780654</v>
      </c>
      <c r="U89" s="15">
        <f t="shared" si="19"/>
        <v>81986.134300613558</v>
      </c>
    </row>
    <row r="90" spans="4:21" x14ac:dyDescent="0.25">
      <c r="E90" s="3">
        <f t="shared" si="20"/>
        <v>14</v>
      </c>
      <c r="F90" s="82">
        <f t="shared" ca="1" si="19"/>
        <v>248410.65361619956</v>
      </c>
      <c r="G90" s="15">
        <f t="shared" si="19"/>
        <v>0</v>
      </c>
      <c r="H90" s="15">
        <f t="shared" si="19"/>
        <v>0</v>
      </c>
      <c r="I90" s="15">
        <f t="shared" si="19"/>
        <v>0</v>
      </c>
      <c r="J90" s="15">
        <f t="shared" si="19"/>
        <v>0</v>
      </c>
      <c r="K90" s="15">
        <f t="shared" si="19"/>
        <v>0</v>
      </c>
      <c r="L90" s="15">
        <f t="shared" si="19"/>
        <v>0</v>
      </c>
      <c r="M90" s="15">
        <f t="shared" si="19"/>
        <v>0</v>
      </c>
      <c r="N90" s="15">
        <f t="shared" si="19"/>
        <v>0</v>
      </c>
      <c r="O90" s="15">
        <f t="shared" si="19"/>
        <v>0</v>
      </c>
      <c r="P90" s="15">
        <f t="shared" si="19"/>
        <v>0</v>
      </c>
      <c r="Q90" s="15">
        <f t="shared" si="19"/>
        <v>0</v>
      </c>
      <c r="R90" s="15">
        <f t="shared" si="19"/>
        <v>0</v>
      </c>
      <c r="S90" s="15">
        <f t="shared" si="19"/>
        <v>0</v>
      </c>
      <c r="T90" s="15">
        <f t="shared" si="19"/>
        <v>141169.07290186384</v>
      </c>
      <c r="U90" s="15">
        <f t="shared" si="19"/>
        <v>119993.71196658426</v>
      </c>
    </row>
    <row r="91" spans="4:21" x14ac:dyDescent="0.25">
      <c r="E91" s="3">
        <f t="shared" si="20"/>
        <v>15</v>
      </c>
      <c r="F91" s="82">
        <f t="shared" ca="1" si="19"/>
        <v>188473.42188039792</v>
      </c>
      <c r="G91" s="15">
        <f t="shared" si="19"/>
        <v>0</v>
      </c>
      <c r="H91" s="15">
        <f t="shared" si="19"/>
        <v>0</v>
      </c>
      <c r="I91" s="15">
        <f t="shared" si="19"/>
        <v>0</v>
      </c>
      <c r="J91" s="15">
        <f t="shared" si="19"/>
        <v>0</v>
      </c>
      <c r="K91" s="15">
        <f t="shared" si="19"/>
        <v>0</v>
      </c>
      <c r="L91" s="15">
        <f t="shared" si="19"/>
        <v>0</v>
      </c>
      <c r="M91" s="15">
        <f t="shared" si="19"/>
        <v>0</v>
      </c>
      <c r="N91" s="15">
        <f t="shared" si="19"/>
        <v>0</v>
      </c>
      <c r="O91" s="15">
        <f t="shared" si="19"/>
        <v>0</v>
      </c>
      <c r="P91" s="15">
        <f t="shared" si="19"/>
        <v>0</v>
      </c>
      <c r="Q91" s="15">
        <f t="shared" si="19"/>
        <v>0</v>
      </c>
      <c r="R91" s="15">
        <f t="shared" si="19"/>
        <v>0</v>
      </c>
      <c r="S91" s="15">
        <f t="shared" si="19"/>
        <v>0</v>
      </c>
      <c r="T91" s="15">
        <f t="shared" si="19"/>
        <v>0</v>
      </c>
      <c r="U91" s="15">
        <f t="shared" si="19"/>
        <v>195069.99164621183</v>
      </c>
    </row>
    <row r="92" spans="4:21" x14ac:dyDescent="0.25">
      <c r="E92" s="64" t="s">
        <v>4</v>
      </c>
      <c r="F92" s="65"/>
      <c r="G92" s="65">
        <f>SUM(G77:G91)</f>
        <v>25000</v>
      </c>
      <c r="H92" s="65">
        <f t="shared" ref="H92:U92" si="21">SUM(H77:H91)</f>
        <v>56875</v>
      </c>
      <c r="I92" s="65">
        <f t="shared" si="21"/>
        <v>93468.75</v>
      </c>
      <c r="J92" s="65">
        <f t="shared" si="21"/>
        <v>147054.6875</v>
      </c>
      <c r="K92" s="65">
        <f t="shared" si="21"/>
        <v>186084.453125</v>
      </c>
      <c r="L92" s="65">
        <f t="shared" si="21"/>
        <v>212827.4609375</v>
      </c>
      <c r="M92" s="65">
        <f t="shared" si="21"/>
        <v>235816.05820312497</v>
      </c>
      <c r="N92" s="65">
        <f t="shared" si="21"/>
        <v>255451.06325195311</v>
      </c>
      <c r="O92" s="65">
        <f t="shared" si="21"/>
        <v>276284.59253124992</v>
      </c>
      <c r="P92" s="65">
        <f t="shared" si="21"/>
        <v>294396.14122448722</v>
      </c>
      <c r="Q92" s="65">
        <f t="shared" si="21"/>
        <v>310005.82356707269</v>
      </c>
      <c r="R92" s="65">
        <f t="shared" si="21"/>
        <v>327584.54801441176</v>
      </c>
      <c r="S92" s="65">
        <f t="shared" si="21"/>
        <v>357063.68779961445</v>
      </c>
      <c r="T92" s="65">
        <f t="shared" si="21"/>
        <v>407877.81130853633</v>
      </c>
      <c r="U92" s="65">
        <f t="shared" si="21"/>
        <v>503314.94220543298</v>
      </c>
    </row>
    <row r="94" spans="4:21" x14ac:dyDescent="0.25">
      <c r="D94" s="2" t="s">
        <v>41</v>
      </c>
      <c r="G94" s="49" t="s">
        <v>16</v>
      </c>
      <c r="H94" s="58"/>
      <c r="I94" s="58"/>
      <c r="J94" s="58"/>
      <c r="K94" s="58"/>
      <c r="L94" s="58"/>
      <c r="M94" s="58"/>
      <c r="N94" s="58"/>
      <c r="O94" s="58"/>
      <c r="P94" s="58"/>
      <c r="Q94" s="58"/>
      <c r="R94" s="58"/>
      <c r="S94" s="58"/>
    </row>
    <row r="95" spans="4:21" x14ac:dyDescent="0.25">
      <c r="E95" s="3" t="s">
        <v>12</v>
      </c>
      <c r="G95" s="54">
        <v>1</v>
      </c>
      <c r="H95" s="54">
        <f>G95+1</f>
        <v>2</v>
      </c>
      <c r="I95" s="54">
        <f t="shared" ref="I95:U95" si="22">H95+1</f>
        <v>3</v>
      </c>
      <c r="J95" s="54">
        <f t="shared" si="22"/>
        <v>4</v>
      </c>
      <c r="K95" s="54">
        <f t="shared" si="22"/>
        <v>5</v>
      </c>
      <c r="L95" s="54">
        <f t="shared" si="22"/>
        <v>6</v>
      </c>
      <c r="M95" s="54">
        <f t="shared" si="22"/>
        <v>7</v>
      </c>
      <c r="N95" s="54">
        <f t="shared" si="22"/>
        <v>8</v>
      </c>
      <c r="O95" s="54">
        <f t="shared" si="22"/>
        <v>9</v>
      </c>
      <c r="P95" s="54">
        <f t="shared" si="22"/>
        <v>10</v>
      </c>
      <c r="Q95" s="54">
        <f t="shared" si="22"/>
        <v>11</v>
      </c>
      <c r="R95" s="54">
        <f t="shared" si="22"/>
        <v>12</v>
      </c>
      <c r="S95" s="54">
        <f t="shared" si="22"/>
        <v>13</v>
      </c>
      <c r="T95" s="54">
        <f t="shared" si="22"/>
        <v>14</v>
      </c>
      <c r="U95" s="54">
        <f t="shared" si="22"/>
        <v>15</v>
      </c>
    </row>
    <row r="96" spans="4:21" x14ac:dyDescent="0.25">
      <c r="E96" s="3">
        <v>1</v>
      </c>
      <c r="G96" s="83">
        <f>'Base Case'!G97</f>
        <v>62613.034328825532</v>
      </c>
      <c r="H96" s="83">
        <f>'Base Case'!H97</f>
        <v>43554.490530334428</v>
      </c>
      <c r="I96" s="83">
        <f>'Base Case'!I97</f>
        <v>27016.397698896126</v>
      </c>
      <c r="J96" s="15">
        <f t="shared" ref="J96:J110" si="23">IF(J77=0,0,NPV(DiscountRate,K77:N77))</f>
        <v>14833.937198067633</v>
      </c>
      <c r="K96" s="15">
        <f t="shared" ref="K96:K110" si="24">IF(K77=0,0,NPV(DiscountRate,L77:O77))</f>
        <v>0</v>
      </c>
      <c r="L96" s="15">
        <f t="shared" ref="L96:L110" si="25">IF(L77=0,0,NPV(DiscountRate,M77:P77))</f>
        <v>0</v>
      </c>
      <c r="M96" s="15">
        <f t="shared" ref="M96:M110" si="26">IF(M77=0,0,NPV(DiscountRate,N77:Q77))</f>
        <v>0</v>
      </c>
      <c r="N96" s="15">
        <f t="shared" ref="N96:N110" si="27">IF(N77=0,0,NPV(DiscountRate,O77:R77))</f>
        <v>0</v>
      </c>
      <c r="O96" s="15">
        <f t="shared" ref="O96:O110" si="28">IF(O77=0,0,NPV(DiscountRate,P77:S77))</f>
        <v>0</v>
      </c>
      <c r="P96" s="15">
        <f t="shared" ref="P96:P110" si="29">IF(P77=0,0,NPV(DiscountRate,Q77:T77))</f>
        <v>0</v>
      </c>
      <c r="Q96" s="15">
        <f t="shared" ref="Q96:Q110" si="30">IF(Q77=0,0,NPV(DiscountRate,R77:U77))</f>
        <v>0</v>
      </c>
      <c r="R96" s="15">
        <f t="shared" ref="R96:R110" si="31">IF(R77=0,0,NPV(DiscountRate,S77:V77))</f>
        <v>0</v>
      </c>
      <c r="S96" s="15">
        <f t="shared" ref="S96:S110" si="32">IF(S77=0,0,NPV(DiscountRate,T77:W77))</f>
        <v>0</v>
      </c>
      <c r="T96" s="15">
        <f t="shared" ref="T96:T110" si="33">IF(T77=0,0,NPV(DiscountRate,U77:X77))</f>
        <v>0</v>
      </c>
      <c r="U96" s="15">
        <f t="shared" ref="U96:U110" si="34">IF(U77=0,0,NPV(DiscountRate,V77:Y77))</f>
        <v>0</v>
      </c>
    </row>
    <row r="97" spans="5:21" x14ac:dyDescent="0.25">
      <c r="E97" s="3">
        <f>E96+1</f>
        <v>2</v>
      </c>
      <c r="G97" s="83">
        <f>'Base Case'!G98</f>
        <v>0</v>
      </c>
      <c r="H97" s="83">
        <f>'Base Case'!H98</f>
        <v>89223.573918576381</v>
      </c>
      <c r="I97" s="83">
        <f>'Base Case'!I98</f>
        <v>62065.149005726555</v>
      </c>
      <c r="J97" s="15">
        <f t="shared" si="23"/>
        <v>45292.196142267036</v>
      </c>
      <c r="K97" s="15">
        <f t="shared" si="24"/>
        <v>21138.360507246376</v>
      </c>
      <c r="L97" s="15">
        <f t="shared" si="25"/>
        <v>0</v>
      </c>
      <c r="M97" s="15">
        <f t="shared" si="26"/>
        <v>0</v>
      </c>
      <c r="N97" s="15">
        <f t="shared" si="27"/>
        <v>0</v>
      </c>
      <c r="O97" s="15">
        <f t="shared" si="28"/>
        <v>0</v>
      </c>
      <c r="P97" s="15">
        <f t="shared" si="29"/>
        <v>0</v>
      </c>
      <c r="Q97" s="15">
        <f t="shared" si="30"/>
        <v>0</v>
      </c>
      <c r="R97" s="15">
        <f t="shared" si="31"/>
        <v>0</v>
      </c>
      <c r="S97" s="15">
        <f t="shared" si="32"/>
        <v>0</v>
      </c>
      <c r="T97" s="15">
        <f t="shared" si="33"/>
        <v>0</v>
      </c>
      <c r="U97" s="15">
        <f t="shared" si="34"/>
        <v>0</v>
      </c>
    </row>
    <row r="98" spans="5:21" x14ac:dyDescent="0.25">
      <c r="E98" s="3">
        <f t="shared" ref="E98:E110" si="35">E97+1</f>
        <v>3</v>
      </c>
      <c r="G98" s="83">
        <f>'Base Case'!G99</f>
        <v>0</v>
      </c>
      <c r="H98" s="83">
        <f>'Base Case'!H99</f>
        <v>0</v>
      </c>
      <c r="I98" s="83">
        <f>'Base Case'!I99</f>
        <v>113016.52696353009</v>
      </c>
      <c r="J98" s="15">
        <f t="shared" si="23"/>
        <v>92489.241655592516</v>
      </c>
      <c r="K98" s="15">
        <f t="shared" si="24"/>
        <v>57370.115113538239</v>
      </c>
      <c r="L98" s="15">
        <f t="shared" si="25"/>
        <v>26775.256642512079</v>
      </c>
      <c r="M98" s="15">
        <f t="shared" si="26"/>
        <v>0</v>
      </c>
      <c r="N98" s="15">
        <f t="shared" si="27"/>
        <v>0</v>
      </c>
      <c r="O98" s="15">
        <f t="shared" si="28"/>
        <v>0</v>
      </c>
      <c r="P98" s="15">
        <f t="shared" si="29"/>
        <v>0</v>
      </c>
      <c r="Q98" s="15">
        <f t="shared" si="30"/>
        <v>0</v>
      </c>
      <c r="R98" s="15">
        <f t="shared" si="31"/>
        <v>0</v>
      </c>
      <c r="S98" s="15">
        <f t="shared" si="32"/>
        <v>0</v>
      </c>
      <c r="T98" s="15">
        <f t="shared" si="33"/>
        <v>0</v>
      </c>
      <c r="U98" s="15">
        <f t="shared" si="34"/>
        <v>0</v>
      </c>
    </row>
    <row r="99" spans="5:21" x14ac:dyDescent="0.25">
      <c r="E99" s="3">
        <f t="shared" si="35"/>
        <v>4</v>
      </c>
      <c r="G99" s="83">
        <f>'Base Case'!G100</f>
        <v>0</v>
      </c>
      <c r="H99" s="83">
        <f>'Base Case'!H100</f>
        <v>0</v>
      </c>
      <c r="I99" s="83">
        <f>'Base Case'!I100</f>
        <v>0</v>
      </c>
      <c r="J99" s="15">
        <f t="shared" si="23"/>
        <v>134207.125769192</v>
      </c>
      <c r="K99" s="15">
        <f t="shared" si="24"/>
        <v>93356.328296113701</v>
      </c>
      <c r="L99" s="15">
        <f t="shared" si="25"/>
        <v>57907.95994272767</v>
      </c>
      <c r="M99" s="15">
        <f t="shared" si="26"/>
        <v>27026.274673535634</v>
      </c>
      <c r="N99" s="15">
        <f t="shared" si="27"/>
        <v>0</v>
      </c>
      <c r="O99" s="15">
        <f t="shared" si="28"/>
        <v>0</v>
      </c>
      <c r="P99" s="15">
        <f t="shared" si="29"/>
        <v>0</v>
      </c>
      <c r="Q99" s="15">
        <f t="shared" si="30"/>
        <v>0</v>
      </c>
      <c r="R99" s="15">
        <f t="shared" si="31"/>
        <v>0</v>
      </c>
      <c r="S99" s="15">
        <f t="shared" si="32"/>
        <v>0</v>
      </c>
      <c r="T99" s="15">
        <f t="shared" si="33"/>
        <v>0</v>
      </c>
      <c r="U99" s="15">
        <f t="shared" si="34"/>
        <v>0</v>
      </c>
    </row>
    <row r="100" spans="5:21" x14ac:dyDescent="0.25">
      <c r="E100" s="3">
        <f t="shared" si="35"/>
        <v>5</v>
      </c>
      <c r="G100" s="83">
        <f>'Base Case'!G101</f>
        <v>0</v>
      </c>
      <c r="H100" s="83">
        <f>'Base Case'!H101</f>
        <v>0</v>
      </c>
      <c r="I100" s="83">
        <f>'Base Case'!I101</f>
        <v>0</v>
      </c>
      <c r="J100" s="15">
        <f t="shared" si="23"/>
        <v>0</v>
      </c>
      <c r="K100" s="15">
        <f t="shared" si="24"/>
        <v>152996.12337687882</v>
      </c>
      <c r="L100" s="15">
        <f t="shared" si="25"/>
        <v>106426.21425756959</v>
      </c>
      <c r="M100" s="15">
        <f t="shared" si="26"/>
        <v>66015.074334709527</v>
      </c>
      <c r="N100" s="15">
        <f t="shared" si="27"/>
        <v>30809.953127830609</v>
      </c>
      <c r="O100" s="15">
        <f t="shared" si="28"/>
        <v>0</v>
      </c>
      <c r="P100" s="15">
        <f t="shared" si="29"/>
        <v>0</v>
      </c>
      <c r="Q100" s="15">
        <f t="shared" si="30"/>
        <v>0</v>
      </c>
      <c r="R100" s="15">
        <f t="shared" si="31"/>
        <v>0</v>
      </c>
      <c r="S100" s="15">
        <f t="shared" si="32"/>
        <v>0</v>
      </c>
      <c r="T100" s="15">
        <f t="shared" si="33"/>
        <v>0</v>
      </c>
      <c r="U100" s="15">
        <f t="shared" si="34"/>
        <v>0</v>
      </c>
    </row>
    <row r="101" spans="5:21" x14ac:dyDescent="0.25">
      <c r="E101" s="3">
        <f t="shared" si="35"/>
        <v>6</v>
      </c>
      <c r="G101" s="83">
        <f>'Base Case'!G102</f>
        <v>0</v>
      </c>
      <c r="H101" s="83">
        <f>'Base Case'!H102</f>
        <v>0</v>
      </c>
      <c r="I101" s="83">
        <f>'Base Case'!I102</f>
        <v>0</v>
      </c>
      <c r="J101" s="15">
        <f t="shared" si="23"/>
        <v>0</v>
      </c>
      <c r="K101" s="15">
        <f t="shared" si="24"/>
        <v>0</v>
      </c>
      <c r="L101" s="15">
        <f t="shared" si="25"/>
        <v>169570.70340937402</v>
      </c>
      <c r="M101" s="15">
        <f t="shared" si="26"/>
        <v>117955.72080213962</v>
      </c>
      <c r="N101" s="15">
        <f t="shared" si="27"/>
        <v>73166.707387636372</v>
      </c>
      <c r="O101" s="15">
        <f t="shared" si="28"/>
        <v>34147.698050012252</v>
      </c>
      <c r="P101" s="15">
        <f t="shared" si="29"/>
        <v>0</v>
      </c>
      <c r="Q101" s="15">
        <f t="shared" si="30"/>
        <v>0</v>
      </c>
      <c r="R101" s="15">
        <f t="shared" si="31"/>
        <v>0</v>
      </c>
      <c r="S101" s="15">
        <f t="shared" si="32"/>
        <v>0</v>
      </c>
      <c r="T101" s="15">
        <f t="shared" si="33"/>
        <v>0</v>
      </c>
      <c r="U101" s="15">
        <f t="shared" si="34"/>
        <v>0</v>
      </c>
    </row>
    <row r="102" spans="5:21" x14ac:dyDescent="0.25">
      <c r="E102" s="3">
        <f t="shared" si="35"/>
        <v>7</v>
      </c>
      <c r="G102" s="83">
        <f>'Base Case'!G103</f>
        <v>0</v>
      </c>
      <c r="H102" s="83">
        <f>'Base Case'!H103</f>
        <v>0</v>
      </c>
      <c r="I102" s="83">
        <f>'Base Case'!I103</f>
        <v>0</v>
      </c>
      <c r="J102" s="15">
        <f t="shared" si="23"/>
        <v>0</v>
      </c>
      <c r="K102" s="15">
        <f t="shared" si="24"/>
        <v>0</v>
      </c>
      <c r="L102" s="15">
        <f t="shared" si="25"/>
        <v>0</v>
      </c>
      <c r="M102" s="15">
        <f t="shared" si="26"/>
        <v>184105.33513017753</v>
      </c>
      <c r="N102" s="15">
        <f t="shared" si="27"/>
        <v>128066.21115660871</v>
      </c>
      <c r="O102" s="15">
        <f t="shared" si="28"/>
        <v>79438.139449433787</v>
      </c>
      <c r="P102" s="15">
        <f t="shared" si="29"/>
        <v>37074.643597156166</v>
      </c>
      <c r="Q102" s="15">
        <f t="shared" si="30"/>
        <v>0</v>
      </c>
      <c r="R102" s="15">
        <f t="shared" si="31"/>
        <v>0</v>
      </c>
      <c r="S102" s="15">
        <f t="shared" si="32"/>
        <v>0</v>
      </c>
      <c r="T102" s="15">
        <f t="shared" si="33"/>
        <v>0</v>
      </c>
      <c r="U102" s="15">
        <f t="shared" si="34"/>
        <v>0</v>
      </c>
    </row>
    <row r="103" spans="5:21" x14ac:dyDescent="0.25">
      <c r="E103" s="3">
        <f t="shared" si="35"/>
        <v>8</v>
      </c>
      <c r="G103" s="83">
        <f>'Base Case'!G104</f>
        <v>0</v>
      </c>
      <c r="H103" s="83">
        <f>'Base Case'!H104</f>
        <v>0</v>
      </c>
      <c r="I103" s="83">
        <f>'Base Case'!I104</f>
        <v>0</v>
      </c>
      <c r="J103" s="15">
        <f t="shared" si="23"/>
        <v>0</v>
      </c>
      <c r="K103" s="15">
        <f t="shared" si="24"/>
        <v>0</v>
      </c>
      <c r="L103" s="15">
        <f t="shared" si="25"/>
        <v>0</v>
      </c>
      <c r="M103" s="15">
        <f t="shared" si="26"/>
        <v>0</v>
      </c>
      <c r="N103" s="15">
        <f t="shared" si="27"/>
        <v>196762.57692037718</v>
      </c>
      <c r="O103" s="15">
        <f t="shared" si="28"/>
        <v>136870.76317362557</v>
      </c>
      <c r="P103" s="15">
        <f t="shared" si="29"/>
        <v>84899.511536582359</v>
      </c>
      <c r="Q103" s="15">
        <f t="shared" si="30"/>
        <v>39623.52534446065</v>
      </c>
      <c r="R103" s="15">
        <f t="shared" si="31"/>
        <v>0</v>
      </c>
      <c r="S103" s="15">
        <f t="shared" si="32"/>
        <v>0</v>
      </c>
      <c r="T103" s="15">
        <f t="shared" si="33"/>
        <v>0</v>
      </c>
      <c r="U103" s="15">
        <f t="shared" si="34"/>
        <v>0</v>
      </c>
    </row>
    <row r="104" spans="5:21" x14ac:dyDescent="0.25">
      <c r="E104" s="3">
        <f t="shared" si="35"/>
        <v>9</v>
      </c>
      <c r="G104" s="83">
        <f>'Base Case'!G105</f>
        <v>0</v>
      </c>
      <c r="H104" s="83">
        <f>'Base Case'!H105</f>
        <v>0</v>
      </c>
      <c r="I104" s="83">
        <f>'Base Case'!I105</f>
        <v>0</v>
      </c>
      <c r="J104" s="15">
        <f t="shared" si="23"/>
        <v>0</v>
      </c>
      <c r="K104" s="15">
        <f t="shared" si="24"/>
        <v>0</v>
      </c>
      <c r="L104" s="15">
        <f t="shared" si="25"/>
        <v>0</v>
      </c>
      <c r="M104" s="15">
        <f t="shared" si="26"/>
        <v>0</v>
      </c>
      <c r="N104" s="15">
        <f t="shared" si="27"/>
        <v>0</v>
      </c>
      <c r="O104" s="15">
        <f t="shared" si="28"/>
        <v>207693.83119373149</v>
      </c>
      <c r="P104" s="15">
        <f t="shared" si="29"/>
        <v>144474.69446104919</v>
      </c>
      <c r="Q104" s="15">
        <f t="shared" si="30"/>
        <v>89616.151066392486</v>
      </c>
      <c r="R104" s="15">
        <f t="shared" si="31"/>
        <v>41824.832308041798</v>
      </c>
      <c r="S104" s="15">
        <f t="shared" si="32"/>
        <v>0</v>
      </c>
      <c r="T104" s="15">
        <f t="shared" si="33"/>
        <v>0</v>
      </c>
      <c r="U104" s="15">
        <f t="shared" si="34"/>
        <v>0</v>
      </c>
    </row>
    <row r="105" spans="5:21" x14ac:dyDescent="0.25">
      <c r="E105" s="3">
        <f t="shared" si="35"/>
        <v>10</v>
      </c>
      <c r="G105" s="83">
        <f>'Base Case'!G106</f>
        <v>0</v>
      </c>
      <c r="H105" s="83">
        <f>'Base Case'!H106</f>
        <v>0</v>
      </c>
      <c r="I105" s="83">
        <f>'Base Case'!I106</f>
        <v>0</v>
      </c>
      <c r="J105" s="15">
        <f t="shared" si="23"/>
        <v>0</v>
      </c>
      <c r="K105" s="15">
        <f t="shared" si="24"/>
        <v>0</v>
      </c>
      <c r="L105" s="15">
        <f t="shared" si="25"/>
        <v>0</v>
      </c>
      <c r="M105" s="15">
        <f t="shared" si="26"/>
        <v>0</v>
      </c>
      <c r="N105" s="15">
        <f t="shared" si="27"/>
        <v>0</v>
      </c>
      <c r="O105" s="15">
        <f t="shared" si="28"/>
        <v>0</v>
      </c>
      <c r="P105" s="15">
        <f t="shared" si="29"/>
        <v>217040.05359744944</v>
      </c>
      <c r="Q105" s="15">
        <f t="shared" si="30"/>
        <v>150976.05571179642</v>
      </c>
      <c r="R105" s="15">
        <f t="shared" si="31"/>
        <v>93648.877864380149</v>
      </c>
      <c r="S105" s="15">
        <f t="shared" si="32"/>
        <v>43706.949761903677</v>
      </c>
      <c r="T105" s="15">
        <f t="shared" si="33"/>
        <v>0</v>
      </c>
      <c r="U105" s="15">
        <f t="shared" si="34"/>
        <v>0</v>
      </c>
    </row>
    <row r="106" spans="5:21" x14ac:dyDescent="0.25">
      <c r="E106" s="3">
        <f t="shared" si="35"/>
        <v>11</v>
      </c>
      <c r="G106" s="83">
        <f>'Base Case'!G107</f>
        <v>0</v>
      </c>
      <c r="H106" s="83">
        <f>'Base Case'!H107</f>
        <v>0</v>
      </c>
      <c r="I106" s="83">
        <f>'Base Case'!I107</f>
        <v>0</v>
      </c>
      <c r="J106" s="15">
        <f t="shared" si="23"/>
        <v>0</v>
      </c>
      <c r="K106" s="15">
        <f t="shared" si="24"/>
        <v>0</v>
      </c>
      <c r="L106" s="15">
        <f t="shared" si="25"/>
        <v>0</v>
      </c>
      <c r="M106" s="15">
        <f t="shared" si="26"/>
        <v>0</v>
      </c>
      <c r="N106" s="15">
        <f t="shared" si="27"/>
        <v>0</v>
      </c>
      <c r="O106" s="15">
        <f t="shared" si="28"/>
        <v>0</v>
      </c>
      <c r="P106" s="15">
        <f t="shared" si="29"/>
        <v>0</v>
      </c>
      <c r="Q106" s="15">
        <f t="shared" si="30"/>
        <v>224932.41918281117</v>
      </c>
      <c r="R106" s="15">
        <f t="shared" si="31"/>
        <v>156466.09410131627</v>
      </c>
      <c r="S106" s="15">
        <f t="shared" si="32"/>
        <v>97054.291604903046</v>
      </c>
      <c r="T106" s="15">
        <f t="shared" si="33"/>
        <v>45296.293389609265</v>
      </c>
      <c r="U106" s="15">
        <f t="shared" si="34"/>
        <v>0</v>
      </c>
    </row>
    <row r="107" spans="5:21" x14ac:dyDescent="0.25">
      <c r="E107" s="3">
        <f t="shared" si="35"/>
        <v>12</v>
      </c>
      <c r="G107" s="83">
        <f>'Base Case'!G108</f>
        <v>0</v>
      </c>
      <c r="H107" s="83">
        <f>'Base Case'!H108</f>
        <v>0</v>
      </c>
      <c r="I107" s="83">
        <f>'Base Case'!I108</f>
        <v>0</v>
      </c>
      <c r="J107" s="15">
        <f t="shared" si="23"/>
        <v>0</v>
      </c>
      <c r="K107" s="15">
        <f t="shared" si="24"/>
        <v>0</v>
      </c>
      <c r="L107" s="15">
        <f t="shared" si="25"/>
        <v>0</v>
      </c>
      <c r="M107" s="15">
        <f t="shared" si="26"/>
        <v>0</v>
      </c>
      <c r="N107" s="15">
        <f t="shared" si="27"/>
        <v>0</v>
      </c>
      <c r="O107" s="15">
        <f t="shared" si="28"/>
        <v>0</v>
      </c>
      <c r="P107" s="15">
        <f t="shared" si="29"/>
        <v>0</v>
      </c>
      <c r="Q107" s="15">
        <f t="shared" si="30"/>
        <v>0</v>
      </c>
      <c r="R107" s="15">
        <f t="shared" si="31"/>
        <v>198190.38586166731</v>
      </c>
      <c r="S107" s="15">
        <f t="shared" si="32"/>
        <v>122935.43603287722</v>
      </c>
      <c r="T107" s="15">
        <f t="shared" si="33"/>
        <v>57375.304960171743</v>
      </c>
      <c r="U107" s="15">
        <f t="shared" si="34"/>
        <v>0</v>
      </c>
    </row>
    <row r="108" spans="5:21" x14ac:dyDescent="0.25">
      <c r="E108" s="3">
        <f t="shared" si="35"/>
        <v>13</v>
      </c>
      <c r="G108" s="83">
        <f>'Base Case'!G109</f>
        <v>0</v>
      </c>
      <c r="H108" s="83">
        <f>'Base Case'!H109</f>
        <v>0</v>
      </c>
      <c r="I108" s="83">
        <f>'Base Case'!I109</f>
        <v>0</v>
      </c>
      <c r="J108" s="15">
        <f t="shared" si="23"/>
        <v>0</v>
      </c>
      <c r="K108" s="15">
        <f t="shared" si="24"/>
        <v>0</v>
      </c>
      <c r="L108" s="15">
        <f t="shared" si="25"/>
        <v>0</v>
      </c>
      <c r="M108" s="15">
        <f t="shared" si="26"/>
        <v>0</v>
      </c>
      <c r="N108" s="15">
        <f t="shared" si="27"/>
        <v>0</v>
      </c>
      <c r="O108" s="15">
        <f t="shared" si="28"/>
        <v>0</v>
      </c>
      <c r="P108" s="15">
        <f t="shared" si="29"/>
        <v>0</v>
      </c>
      <c r="Q108" s="15">
        <f t="shared" si="30"/>
        <v>0</v>
      </c>
      <c r="R108" s="15">
        <f t="shared" si="31"/>
        <v>0</v>
      </c>
      <c r="S108" s="15">
        <f t="shared" si="32"/>
        <v>169727.47050905882</v>
      </c>
      <c r="T108" s="15">
        <f t="shared" si="33"/>
        <v>79213.656329095233</v>
      </c>
      <c r="U108" s="15">
        <f t="shared" si="34"/>
        <v>0</v>
      </c>
    </row>
    <row r="109" spans="5:21" x14ac:dyDescent="0.25">
      <c r="E109" s="3">
        <f t="shared" si="35"/>
        <v>14</v>
      </c>
      <c r="G109" s="83">
        <f>'Base Case'!G110</f>
        <v>0</v>
      </c>
      <c r="H109" s="83">
        <f>'Base Case'!H110</f>
        <v>0</v>
      </c>
      <c r="I109" s="83">
        <f>'Base Case'!I110</f>
        <v>0</v>
      </c>
      <c r="J109" s="15">
        <f t="shared" si="23"/>
        <v>0</v>
      </c>
      <c r="K109" s="15">
        <f t="shared" si="24"/>
        <v>0</v>
      </c>
      <c r="L109" s="15">
        <f t="shared" si="25"/>
        <v>0</v>
      </c>
      <c r="M109" s="15">
        <f t="shared" si="26"/>
        <v>0</v>
      </c>
      <c r="N109" s="15">
        <f t="shared" si="27"/>
        <v>0</v>
      </c>
      <c r="O109" s="15">
        <f t="shared" si="28"/>
        <v>0</v>
      </c>
      <c r="P109" s="15">
        <f t="shared" si="29"/>
        <v>0</v>
      </c>
      <c r="Q109" s="15">
        <f t="shared" si="30"/>
        <v>0</v>
      </c>
      <c r="R109" s="15">
        <f t="shared" si="31"/>
        <v>0</v>
      </c>
      <c r="S109" s="15">
        <f t="shared" si="32"/>
        <v>0</v>
      </c>
      <c r="T109" s="15">
        <f t="shared" si="33"/>
        <v>115935.95359090267</v>
      </c>
      <c r="U109" s="15">
        <f t="shared" si="34"/>
        <v>0</v>
      </c>
    </row>
    <row r="110" spans="5:21" x14ac:dyDescent="0.25">
      <c r="E110" s="3">
        <f t="shared" si="35"/>
        <v>15</v>
      </c>
      <c r="G110" s="83">
        <f>'Base Case'!G111</f>
        <v>0</v>
      </c>
      <c r="H110" s="83">
        <f>'Base Case'!H111</f>
        <v>0</v>
      </c>
      <c r="I110" s="83">
        <f>'Base Case'!I111</f>
        <v>0</v>
      </c>
      <c r="J110" s="15">
        <f t="shared" si="23"/>
        <v>0</v>
      </c>
      <c r="K110" s="15">
        <f t="shared" si="24"/>
        <v>0</v>
      </c>
      <c r="L110" s="15">
        <f t="shared" si="25"/>
        <v>0</v>
      </c>
      <c r="M110" s="15">
        <f t="shared" si="26"/>
        <v>0</v>
      </c>
      <c r="N110" s="15">
        <f t="shared" si="27"/>
        <v>0</v>
      </c>
      <c r="O110" s="15">
        <f t="shared" si="28"/>
        <v>0</v>
      </c>
      <c r="P110" s="15">
        <f t="shared" si="29"/>
        <v>0</v>
      </c>
      <c r="Q110" s="15">
        <f t="shared" si="30"/>
        <v>0</v>
      </c>
      <c r="R110" s="15">
        <f t="shared" si="31"/>
        <v>0</v>
      </c>
      <c r="S110" s="15">
        <f t="shared" si="32"/>
        <v>0</v>
      </c>
      <c r="T110" s="15">
        <f t="shared" si="33"/>
        <v>0</v>
      </c>
      <c r="U110" s="15">
        <f t="shared" si="34"/>
        <v>0</v>
      </c>
    </row>
    <row r="111" spans="5:21" x14ac:dyDescent="0.25">
      <c r="E111" s="64" t="s">
        <v>4</v>
      </c>
      <c r="G111" s="65">
        <f>SUM(G96:G110)</f>
        <v>62613.034328825532</v>
      </c>
      <c r="H111" s="65">
        <f t="shared" ref="H111:U111" si="36">SUM(H96:H110)</f>
        <v>132778.06444891082</v>
      </c>
      <c r="I111" s="65">
        <f t="shared" si="36"/>
        <v>202098.07366815279</v>
      </c>
      <c r="J111" s="65">
        <f t="shared" si="36"/>
        <v>286822.50076511921</v>
      </c>
      <c r="K111" s="65">
        <f t="shared" si="36"/>
        <v>324860.92729377712</v>
      </c>
      <c r="L111" s="65">
        <f t="shared" si="36"/>
        <v>360680.13425218337</v>
      </c>
      <c r="M111" s="65">
        <f t="shared" si="36"/>
        <v>395102.40494056232</v>
      </c>
      <c r="N111" s="65">
        <f t="shared" si="36"/>
        <v>428805.44859245291</v>
      </c>
      <c r="O111" s="65">
        <f t="shared" si="36"/>
        <v>458150.43186680309</v>
      </c>
      <c r="P111" s="65">
        <f t="shared" si="36"/>
        <v>483488.90319223714</v>
      </c>
      <c r="Q111" s="65">
        <f t="shared" si="36"/>
        <v>505148.15130546072</v>
      </c>
      <c r="R111" s="65">
        <f t="shared" si="36"/>
        <v>490130.19013540552</v>
      </c>
      <c r="S111" s="65">
        <f t="shared" si="36"/>
        <v>433424.14790874277</v>
      </c>
      <c r="T111" s="65">
        <f t="shared" si="36"/>
        <v>297821.20826977893</v>
      </c>
      <c r="U111" s="65">
        <f t="shared" si="36"/>
        <v>0</v>
      </c>
    </row>
    <row r="114" spans="7:8" x14ac:dyDescent="0.25">
      <c r="G114" s="66"/>
      <c r="H114" s="66"/>
    </row>
    <row r="115" spans="7:8" x14ac:dyDescent="0.25">
      <c r="G115" s="66"/>
      <c r="H115" s="66"/>
    </row>
  </sheetData>
  <mergeCells count="2">
    <mergeCell ref="J38:N38"/>
    <mergeCell ref="P38:R3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3B73E-E295-44B2-B9B3-C9F17A2F07B0}">
  <sheetPr>
    <tabColor theme="6"/>
  </sheetPr>
  <dimension ref="A1:AC115"/>
  <sheetViews>
    <sheetView showGridLines="0" zoomScaleNormal="100" workbookViewId="0">
      <selection activeCell="A2" sqref="A2"/>
    </sheetView>
  </sheetViews>
  <sheetFormatPr defaultColWidth="8.85546875" defaultRowHeight="15" x14ac:dyDescent="0.25"/>
  <cols>
    <col min="1" max="4" width="1.85546875" style="3" customWidth="1"/>
    <col min="5" max="5" width="18.85546875" style="3" customWidth="1"/>
    <col min="6" max="6" width="21.5703125" style="3" bestFit="1" customWidth="1"/>
    <col min="7" max="18" width="15.5703125" style="3" bestFit="1" customWidth="1"/>
    <col min="19" max="21" width="16.140625" style="3" bestFit="1" customWidth="1"/>
    <col min="22" max="22" width="14" style="3" bestFit="1" customWidth="1"/>
    <col min="23" max="24" width="16.140625" style="3" bestFit="1" customWidth="1"/>
    <col min="25" max="25" width="20.42578125" style="3" customWidth="1"/>
    <col min="26" max="26" width="11.5703125" style="3" bestFit="1" customWidth="1"/>
    <col min="27" max="28" width="10.42578125" style="3" bestFit="1" customWidth="1"/>
    <col min="29" max="29" width="7.140625" style="3" bestFit="1" customWidth="1"/>
    <col min="30" max="30" width="1.85546875" style="3" customWidth="1"/>
    <col min="31" max="31" width="11.85546875" style="3" bestFit="1" customWidth="1"/>
    <col min="32" max="32" width="13.5703125" style="3" bestFit="1" customWidth="1"/>
    <col min="33" max="34" width="11.85546875" style="3" bestFit="1" customWidth="1"/>
    <col min="35" max="16384" width="8.85546875" style="3"/>
  </cols>
  <sheetData>
    <row r="1" spans="1:12" x14ac:dyDescent="0.25">
      <c r="A1" s="4" t="s">
        <v>95</v>
      </c>
    </row>
    <row r="2" spans="1:12" x14ac:dyDescent="0.25">
      <c r="A2" s="1" t="s">
        <v>96</v>
      </c>
    </row>
    <row r="3" spans="1:12" x14ac:dyDescent="0.25">
      <c r="A3" s="5" t="s">
        <v>97</v>
      </c>
    </row>
    <row r="4" spans="1:12" x14ac:dyDescent="0.25">
      <c r="A4" s="6" t="s">
        <v>108</v>
      </c>
    </row>
    <row r="6" spans="1:12" x14ac:dyDescent="0.25">
      <c r="B6" s="2" t="s">
        <v>0</v>
      </c>
    </row>
    <row r="7" spans="1:12" x14ac:dyDescent="0.25">
      <c r="B7" s="2" t="s">
        <v>1</v>
      </c>
    </row>
    <row r="8" spans="1:12" x14ac:dyDescent="0.25">
      <c r="B8" s="2"/>
    </row>
    <row r="9" spans="1:12" x14ac:dyDescent="0.25">
      <c r="B9" s="2" t="s">
        <v>7</v>
      </c>
      <c r="K9" s="7"/>
    </row>
    <row r="11" spans="1:12" x14ac:dyDescent="0.25">
      <c r="B11" s="2" t="s">
        <v>60</v>
      </c>
    </row>
    <row r="13" spans="1:12" x14ac:dyDescent="0.25">
      <c r="C13" s="2" t="s">
        <v>2</v>
      </c>
    </row>
    <row r="14" spans="1:12" x14ac:dyDescent="0.25">
      <c r="D14" s="3" t="s">
        <v>67</v>
      </c>
    </row>
    <row r="15" spans="1:12" x14ac:dyDescent="0.25">
      <c r="D15" s="3" t="s">
        <v>72</v>
      </c>
      <c r="J15" s="2" t="s">
        <v>44</v>
      </c>
      <c r="L15" s="45"/>
    </row>
    <row r="16" spans="1:12" x14ac:dyDescent="0.25">
      <c r="D16" s="3" t="s">
        <v>10</v>
      </c>
      <c r="J16" s="67" t="s">
        <v>45</v>
      </c>
      <c r="K16" s="67"/>
      <c r="L16" s="67"/>
    </row>
    <row r="17" spans="3:15" x14ac:dyDescent="0.25">
      <c r="D17" s="3" t="s">
        <v>14</v>
      </c>
      <c r="J17" s="68" t="s">
        <v>46</v>
      </c>
      <c r="K17" s="69"/>
      <c r="L17" s="68"/>
    </row>
    <row r="18" spans="3:15" x14ac:dyDescent="0.25">
      <c r="D18" s="3" t="s">
        <v>19</v>
      </c>
      <c r="J18" s="70" t="s">
        <v>47</v>
      </c>
      <c r="K18" s="70"/>
      <c r="L18" s="70"/>
    </row>
    <row r="19" spans="3:15" x14ac:dyDescent="0.25">
      <c r="D19" s="3" t="s">
        <v>20</v>
      </c>
      <c r="J19" s="71" t="s">
        <v>48</v>
      </c>
      <c r="K19" s="71"/>
      <c r="L19" s="71"/>
    </row>
    <row r="20" spans="3:15" x14ac:dyDescent="0.25">
      <c r="D20" s="3" t="s">
        <v>36</v>
      </c>
      <c r="J20" s="72" t="s">
        <v>49</v>
      </c>
      <c r="K20" s="72"/>
      <c r="L20" s="72"/>
    </row>
    <row r="21" spans="3:15" x14ac:dyDescent="0.25">
      <c r="D21" s="3" t="s">
        <v>35</v>
      </c>
      <c r="J21" s="73" t="s">
        <v>50</v>
      </c>
      <c r="K21" s="73"/>
      <c r="L21" s="73"/>
    </row>
    <row r="23" spans="3:15" x14ac:dyDescent="0.25">
      <c r="C23" s="2" t="s">
        <v>8</v>
      </c>
    </row>
    <row r="24" spans="3:15" x14ac:dyDescent="0.25">
      <c r="E24" s="9">
        <v>0.65</v>
      </c>
      <c r="F24" s="9" t="s">
        <v>11</v>
      </c>
      <c r="G24" s="9"/>
      <c r="H24" s="9"/>
      <c r="I24" s="9"/>
      <c r="J24" s="9"/>
    </row>
    <row r="25" spans="3:15" x14ac:dyDescent="0.25">
      <c r="E25" s="13">
        <v>3.5000000000000003E-2</v>
      </c>
      <c r="F25" s="9" t="s">
        <v>6</v>
      </c>
      <c r="G25" s="9"/>
      <c r="H25" s="9"/>
      <c r="I25" s="9"/>
      <c r="J25" s="9"/>
    </row>
    <row r="26" spans="3:15" x14ac:dyDescent="0.25">
      <c r="E26" s="9">
        <v>0.05</v>
      </c>
      <c r="F26" s="9" t="s">
        <v>9</v>
      </c>
      <c r="G26" s="9"/>
      <c r="H26" s="9"/>
      <c r="I26" s="9"/>
      <c r="J26" s="9"/>
    </row>
    <row r="27" spans="3:15" ht="12.6" customHeight="1" x14ac:dyDescent="0.25">
      <c r="E27" s="85">
        <v>0.05</v>
      </c>
      <c r="F27" s="9" t="s">
        <v>13</v>
      </c>
      <c r="O27" s="11"/>
    </row>
    <row r="28" spans="3:15" x14ac:dyDescent="0.25">
      <c r="E28" s="9"/>
      <c r="F28" s="9"/>
    </row>
    <row r="29" spans="3:15" ht="12.75" customHeight="1" x14ac:dyDescent="0.25">
      <c r="C29" s="2" t="s">
        <v>17</v>
      </c>
      <c r="E29" s="9"/>
      <c r="F29" s="9"/>
    </row>
    <row r="30" spans="3:15" ht="12.75" customHeight="1" x14ac:dyDescent="0.25">
      <c r="E30" s="12">
        <f>'Base Case'!E30</f>
        <v>451.96307684931026</v>
      </c>
      <c r="F30" s="9" t="s">
        <v>18</v>
      </c>
      <c r="L30" s="11"/>
    </row>
    <row r="31" spans="3:15" x14ac:dyDescent="0.25">
      <c r="E31" s="74">
        <f ca="1">SUM(F35:H35)/E35</f>
        <v>0.76818297743752806</v>
      </c>
      <c r="F31" s="9" t="s">
        <v>31</v>
      </c>
    </row>
    <row r="32" spans="3:15" x14ac:dyDescent="0.25">
      <c r="E32" s="9"/>
      <c r="F32" s="9"/>
    </row>
    <row r="33" spans="3:22" x14ac:dyDescent="0.25">
      <c r="C33" s="2" t="s">
        <v>37</v>
      </c>
      <c r="D33" s="2"/>
      <c r="E33" s="2"/>
      <c r="F33" s="2"/>
      <c r="G33" s="2"/>
    </row>
    <row r="34" spans="3:22" ht="30" x14ac:dyDescent="0.25">
      <c r="E34" s="14" t="s">
        <v>38</v>
      </c>
      <c r="F34" s="14" t="str">
        <f>"PV Claims Paid (incurred t&lt;="&amp;$U$38&amp;")"</f>
        <v>PV Claims Paid (incurred t&lt;=5)</v>
      </c>
      <c r="G34" s="14" t="str">
        <f>"PV Claim Reserve (t="&amp;$U$38&amp;")"</f>
        <v>PV Claim Reserve (t=5)</v>
      </c>
      <c r="H34" s="14" t="str">
        <f>"PVF Claims Paid (incurred t&gt;"&amp;$U$38&amp;")"</f>
        <v>PVF Claims Paid (incurred t&gt;5)</v>
      </c>
      <c r="I34" s="14" t="s">
        <v>4</v>
      </c>
    </row>
    <row r="35" spans="3:22" x14ac:dyDescent="0.25">
      <c r="E35" s="15">
        <f>NPV(DiscountRate,J41:J$55)*(1+DiscountRate)</f>
        <v>3981460.330999488</v>
      </c>
      <c r="F35" s="16">
        <f ca="1">NPV(DiscountRate,T41:T$55)</f>
        <v>464951.66363540292</v>
      </c>
      <c r="G35" s="16">
        <f ca="1">NPV(DiscountRate,U41:U$55)</f>
        <v>371425.40519544855</v>
      </c>
      <c r="H35" s="16">
        <f ca="1">NPV(DiscountRate,V41:V$55)</f>
        <v>2222112.9827857413</v>
      </c>
      <c r="I35" s="75">
        <f ca="1">SUM(F35:H35)</f>
        <v>3058490.0516165928</v>
      </c>
    </row>
    <row r="36" spans="3:22" x14ac:dyDescent="0.25">
      <c r="E36" s="9"/>
      <c r="F36" s="9"/>
    </row>
    <row r="37" spans="3:22" ht="12.6" customHeight="1" x14ac:dyDescent="0.25">
      <c r="C37" s="2" t="s">
        <v>91</v>
      </c>
      <c r="E37" s="9"/>
      <c r="F37" s="9"/>
      <c r="J37" s="16"/>
      <c r="K37" s="16"/>
      <c r="L37" s="16"/>
      <c r="M37" s="16"/>
      <c r="N37" s="16"/>
      <c r="O37" s="16"/>
      <c r="P37" s="16"/>
      <c r="Q37" s="16"/>
      <c r="R37" s="16"/>
    </row>
    <row r="38" spans="3:22" ht="12.6" customHeight="1" x14ac:dyDescent="0.25">
      <c r="C38" s="2"/>
      <c r="E38" s="9"/>
      <c r="F38" s="9"/>
      <c r="J38" s="116" t="s">
        <v>56</v>
      </c>
      <c r="K38" s="117"/>
      <c r="L38" s="117"/>
      <c r="M38" s="117"/>
      <c r="N38" s="118"/>
      <c r="O38" s="18"/>
      <c r="P38" s="116" t="s">
        <v>57</v>
      </c>
      <c r="Q38" s="117"/>
      <c r="R38" s="118"/>
      <c r="T38" s="19" t="s">
        <v>34</v>
      </c>
      <c r="U38" s="3">
        <v>5</v>
      </c>
    </row>
    <row r="39" spans="3:22" ht="45" x14ac:dyDescent="0.25">
      <c r="E39" s="20" t="s">
        <v>3</v>
      </c>
      <c r="F39" s="20" t="s">
        <v>22</v>
      </c>
      <c r="G39" s="20" t="s">
        <v>29</v>
      </c>
      <c r="H39" s="20" t="s">
        <v>28</v>
      </c>
      <c r="I39" s="20" t="s">
        <v>30</v>
      </c>
      <c r="J39" s="20" t="s">
        <v>52</v>
      </c>
      <c r="K39" s="20" t="s">
        <v>53</v>
      </c>
      <c r="L39" s="20" t="s">
        <v>54</v>
      </c>
      <c r="M39" s="20" t="s">
        <v>55</v>
      </c>
      <c r="N39" s="20" t="s">
        <v>70</v>
      </c>
      <c r="O39" s="20" t="s">
        <v>71</v>
      </c>
      <c r="P39" s="20" t="s">
        <v>68</v>
      </c>
      <c r="Q39" s="20" t="s">
        <v>32</v>
      </c>
      <c r="R39" s="20" t="s">
        <v>33</v>
      </c>
      <c r="T39" s="20" t="str">
        <f>"Claims Paid (t&lt;="&amp;$U$38&amp;")"</f>
        <v>Claims Paid (t&lt;=5)</v>
      </c>
      <c r="U39" s="20" t="str">
        <f>"Claim Reserve (t="&amp;$U$38&amp;")"</f>
        <v>Claim Reserve (t=5)</v>
      </c>
      <c r="V39" s="20" t="str">
        <f>"Future Claims Paid (incurred t&gt;"&amp;$U$38&amp;")"</f>
        <v>Future Claims Paid (incurred t&gt;5)</v>
      </c>
    </row>
    <row r="40" spans="3:22" x14ac:dyDescent="0.25">
      <c r="E40" s="25">
        <v>0</v>
      </c>
      <c r="F40" s="25"/>
      <c r="G40" s="25"/>
      <c r="H40" s="25"/>
      <c r="I40" s="25"/>
      <c r="J40" s="25"/>
      <c r="K40" s="25"/>
      <c r="L40" s="25"/>
      <c r="M40" s="25"/>
      <c r="N40" s="25"/>
      <c r="O40" s="25"/>
      <c r="P40" s="25"/>
      <c r="Q40" s="25"/>
      <c r="R40" s="25"/>
      <c r="T40" s="25"/>
      <c r="U40" s="25"/>
      <c r="V40" s="25"/>
    </row>
    <row r="41" spans="3:22" x14ac:dyDescent="0.25">
      <c r="E41" s="30">
        <v>1</v>
      </c>
      <c r="F41" s="37">
        <v>1000</v>
      </c>
      <c r="G41" s="32"/>
      <c r="H41" s="32"/>
      <c r="I41" s="32"/>
      <c r="J41" s="76">
        <f>'Base Case'!J41</f>
        <v>451963.07684931025</v>
      </c>
      <c r="K41" s="76">
        <f>'Base Case'!K41</f>
        <v>25000</v>
      </c>
      <c r="L41" s="77">
        <f>'Base Case'!L41</f>
        <v>15818.707689725861</v>
      </c>
      <c r="M41" s="76">
        <f ca="1">P41-P40</f>
        <v>279058.15995037323</v>
      </c>
      <c r="N41" s="77">
        <f ca="1">'Base Case'!N41</f>
        <v>163723.62458866287</v>
      </c>
      <c r="O41" s="78">
        <f ca="1">'Base Case'!O41</f>
        <v>0.35000000000000053</v>
      </c>
      <c r="P41" s="76">
        <f ca="1">'Base Case'!P41</f>
        <v>279058.15995037323</v>
      </c>
      <c r="Q41" s="76">
        <f ca="1">'Base Case'!Q41</f>
        <v>216445.12562154746</v>
      </c>
      <c r="R41" s="76">
        <f>'Base Case'!R41</f>
        <v>62613.034328825532</v>
      </c>
      <c r="T41" s="32">
        <f t="shared" ref="T41:T55" ca="1" si="0">IF(E41&lt;=$U$38,SUM(OFFSET($G$77,0,E41-1,U$38)),0)</f>
        <v>25000</v>
      </c>
      <c r="U41" s="32">
        <f t="shared" ref="U41:U55" ca="1" si="1">IF(E41=$U$38,OFFSET($F$111,0,$U$38),0)</f>
        <v>0</v>
      </c>
      <c r="V41" s="34">
        <f t="shared" ref="V41:V55" ca="1" si="2">IF(E41&gt;$U$38,OFFSET($F$92,0,E41)-IFERROR(SUM(OFFSET($G$77,0,E41-1,U$38)),0),0)</f>
        <v>0</v>
      </c>
    </row>
    <row r="42" spans="3:22" x14ac:dyDescent="0.25">
      <c r="E42" s="30">
        <f>E41+1</f>
        <v>2</v>
      </c>
      <c r="F42" s="37">
        <f t="shared" ref="F42:F55" si="3">F41*(1-PolicyTerm)</f>
        <v>950</v>
      </c>
      <c r="G42" s="32"/>
      <c r="H42" s="32"/>
      <c r="I42" s="32"/>
      <c r="J42" s="76">
        <f>'Base Case'!J42</f>
        <v>429364.92300684477</v>
      </c>
      <c r="K42" s="76">
        <f>'Base Case'!K42</f>
        <v>56875</v>
      </c>
      <c r="L42" s="77">
        <f ca="1">'Base Case'!L42</f>
        <v>24794.807903502631</v>
      </c>
      <c r="M42" s="76">
        <f t="shared" ref="M42:M55" ca="1" si="4">P42-P41</f>
        <v>241747.2875511176</v>
      </c>
      <c r="N42" s="77">
        <f ca="1">'Base Case'!N42</f>
        <v>155537.44335922983</v>
      </c>
      <c r="O42" s="78">
        <f ca="1">'Base Case'!O42</f>
        <v>0.3500000000000007</v>
      </c>
      <c r="P42" s="76">
        <f ca="1">'Base Case'!P42</f>
        <v>520805.44750149082</v>
      </c>
      <c r="Q42" s="76">
        <f ca="1">'Base Case'!Q42</f>
        <v>388027.38305258006</v>
      </c>
      <c r="R42" s="76">
        <f>'Base Case'!R42</f>
        <v>132778.06444891082</v>
      </c>
      <c r="T42" s="32">
        <f t="shared" ca="1" si="0"/>
        <v>56875</v>
      </c>
      <c r="U42" s="32">
        <f t="shared" ca="1" si="1"/>
        <v>0</v>
      </c>
      <c r="V42" s="34">
        <f t="shared" ca="1" si="2"/>
        <v>0</v>
      </c>
    </row>
    <row r="43" spans="3:22" x14ac:dyDescent="0.25">
      <c r="E43" s="30">
        <f t="shared" ref="E43:E55" si="5">E42+1</f>
        <v>3</v>
      </c>
      <c r="F43" s="37">
        <f t="shared" si="3"/>
        <v>902.5</v>
      </c>
      <c r="G43" s="32"/>
      <c r="H43" s="32"/>
      <c r="I43" s="32"/>
      <c r="J43" s="76">
        <f>'Base Case'!J43</f>
        <v>407896.67685650248</v>
      </c>
      <c r="K43" s="76">
        <f>'Base Case'!K43</f>
        <v>93468.75</v>
      </c>
      <c r="L43" s="77">
        <f ca="1">'Base Case'!L43</f>
        <v>32504.574352529766</v>
      </c>
      <c r="M43" s="76">
        <f t="shared" ca="1" si="4"/>
        <v>199171.93001776468</v>
      </c>
      <c r="N43" s="77">
        <f ca="1">'Base Case'!N43</f>
        <v>147760.57119126758</v>
      </c>
      <c r="O43" s="78">
        <f ca="1">'Base Case'!O43</f>
        <v>0.34999999999999898</v>
      </c>
      <c r="P43" s="76">
        <f ca="1">'Base Case'!P43</f>
        <v>719977.3775192555</v>
      </c>
      <c r="Q43" s="76">
        <f ca="1">'Base Case'!Q43</f>
        <v>517879.30385110201</v>
      </c>
      <c r="R43" s="76">
        <f>'Base Case'!R43</f>
        <v>202098.07366815279</v>
      </c>
      <c r="T43" s="32">
        <f t="shared" ca="1" si="0"/>
        <v>93468.75</v>
      </c>
      <c r="U43" s="32">
        <f t="shared" ca="1" si="1"/>
        <v>0</v>
      </c>
      <c r="V43" s="34">
        <f t="shared" ca="1" si="2"/>
        <v>0</v>
      </c>
    </row>
    <row r="44" spans="3:22" x14ac:dyDescent="0.25">
      <c r="E44" s="30">
        <f t="shared" si="5"/>
        <v>4</v>
      </c>
      <c r="F44" s="37">
        <f t="shared" si="3"/>
        <v>857.375</v>
      </c>
      <c r="G44" s="32"/>
      <c r="H44" s="32"/>
      <c r="I44" s="32"/>
      <c r="J44" s="86">
        <f>'Claims Shock'!J44</f>
        <v>387501.8430136774</v>
      </c>
      <c r="K44" s="86">
        <f>'Claims Shock'!K44</f>
        <v>147054.6875</v>
      </c>
      <c r="L44" s="86">
        <f ca="1">'Claims Shock'!L44</f>
        <v>38761.772718652654</v>
      </c>
      <c r="M44" s="86">
        <f t="shared" ca="1" si="4"/>
        <v>153643.19631256838</v>
      </c>
      <c r="N44" s="86">
        <f ca="1">'Claims Shock'!N44</f>
        <v>125565.73191976169</v>
      </c>
      <c r="O44" s="87">
        <f ca="1">'Claims Shock'!O44</f>
        <v>0.31308121480155099</v>
      </c>
      <c r="P44" s="88">
        <f ca="1">'Claims Shock'!P44</f>
        <v>873620.57383182389</v>
      </c>
      <c r="Q44" s="88">
        <f ca="1">'Claims Shock'!Q44</f>
        <v>586798.07306670421</v>
      </c>
      <c r="R44" s="88">
        <f>'Claims Shock'!R44</f>
        <v>286822.50076511921</v>
      </c>
      <c r="T44" s="32">
        <f t="shared" ca="1" si="0"/>
        <v>147054.6875</v>
      </c>
      <c r="U44" s="32">
        <f t="shared" ca="1" si="1"/>
        <v>0</v>
      </c>
      <c r="V44" s="34">
        <f t="shared" ca="1" si="2"/>
        <v>0</v>
      </c>
    </row>
    <row r="45" spans="3:22" x14ac:dyDescent="0.25">
      <c r="E45" s="38">
        <f t="shared" si="5"/>
        <v>5</v>
      </c>
      <c r="F45" s="39">
        <f t="shared" si="3"/>
        <v>814.50624999999991</v>
      </c>
      <c r="G45" s="40"/>
      <c r="H45" s="40"/>
      <c r="I45" s="40"/>
      <c r="J45" s="40">
        <f t="shared" ref="J45:J55" si="6">$E$30*F45</f>
        <v>368126.75086299347</v>
      </c>
      <c r="K45" s="79">
        <f t="shared" ref="K45:K55" si="7">HLOOKUP(E45,$G$76:$U$92,17,0)</f>
        <v>208142.65625</v>
      </c>
      <c r="L45" s="40">
        <f t="shared" ref="L45:L55" ca="1" si="8">($J45+P44)*DiscountRate</f>
        <v>43461.156364318616</v>
      </c>
      <c r="M45" s="79">
        <f t="shared" ca="1" si="4"/>
        <v>323969.57862282125</v>
      </c>
      <c r="N45" s="79">
        <f ca="1">J45+L45-K45-M45</f>
        <v>-120524.32764550915</v>
      </c>
      <c r="O45" s="80">
        <f t="shared" ref="O45:O55" ca="1" si="9">IFERROR((N45/(1+DiscountRate))/J45,0)</f>
        <v>-0.31632752977463524</v>
      </c>
      <c r="P45" s="81">
        <f t="shared" ref="P45:P55" ca="1" si="10">H46-G46*NetPremiumRatio</f>
        <v>1197590.1524546451</v>
      </c>
      <c r="Q45" s="81">
        <f t="shared" ref="Q45:Q55" ca="1" si="11">I46-G46*NetPremiumRatio</f>
        <v>756453.28513466916</v>
      </c>
      <c r="R45" s="81">
        <f t="shared" ref="R45:R55" si="12">HLOOKUP(E45,$G$95:$U$111,17,0)</f>
        <v>441136.86731997575</v>
      </c>
      <c r="T45" s="32">
        <f t="shared" ca="1" si="0"/>
        <v>208142.65625</v>
      </c>
      <c r="U45" s="32">
        <f t="shared" ca="1" si="1"/>
        <v>441136.86731997575</v>
      </c>
      <c r="V45" s="34">
        <f t="shared" ca="1" si="2"/>
        <v>0</v>
      </c>
    </row>
    <row r="46" spans="3:22" x14ac:dyDescent="0.25">
      <c r="E46" s="30">
        <f t="shared" si="5"/>
        <v>6</v>
      </c>
      <c r="F46" s="37">
        <f t="shared" si="3"/>
        <v>773.78093749999982</v>
      </c>
      <c r="G46" s="32">
        <f>NPV(DiscountRate,J46:J$55)*(1+DiscountRate)</f>
        <v>2450874.2440510485</v>
      </c>
      <c r="H46" s="32">
        <f>NPV(DiscountRate,K46:K$55)</f>
        <v>3080310.0265747304</v>
      </c>
      <c r="I46" s="32">
        <f ca="1">NPV(DiscountRate,F82:$F$91)*(1+DiscountRate)</f>
        <v>2639173.1592547544</v>
      </c>
      <c r="J46" s="32">
        <f t="shared" si="6"/>
        <v>349720.41331984376</v>
      </c>
      <c r="K46" s="32">
        <f t="shared" si="7"/>
        <v>248281.98046875</v>
      </c>
      <c r="L46" s="32">
        <f t="shared" ca="1" si="8"/>
        <v>54155.869802107118</v>
      </c>
      <c r="M46" s="32">
        <f t="shared" ca="1" si="4"/>
        <v>71685.667634997051</v>
      </c>
      <c r="N46" s="32">
        <f t="shared" ref="N46:N55" ca="1" si="13">J46+L46-K46-M46</f>
        <v>83908.635018203815</v>
      </c>
      <c r="O46" s="33">
        <f t="shared" ca="1" si="9"/>
        <v>0.23181702256247547</v>
      </c>
      <c r="P46" s="34">
        <f t="shared" ca="1" si="10"/>
        <v>1269275.8200896422</v>
      </c>
      <c r="Q46" s="32">
        <f t="shared" ca="1" si="11"/>
        <v>773673.74181747087</v>
      </c>
      <c r="R46" s="32">
        <f t="shared" si="12"/>
        <v>495602.07827217155</v>
      </c>
      <c r="T46" s="32">
        <f t="shared" ca="1" si="0"/>
        <v>0</v>
      </c>
      <c r="U46" s="32">
        <f t="shared" ca="1" si="1"/>
        <v>0</v>
      </c>
      <c r="V46" s="34">
        <f t="shared" ca="1" si="2"/>
        <v>67705.83203125</v>
      </c>
    </row>
    <row r="47" spans="3:22" x14ac:dyDescent="0.25">
      <c r="E47" s="30">
        <f t="shared" si="5"/>
        <v>7</v>
      </c>
      <c r="F47" s="37">
        <f t="shared" si="3"/>
        <v>735.09189062499979</v>
      </c>
      <c r="G47" s="32">
        <f>NPV(DiscountRate,J47:J$55)*(1+DiscountRate)</f>
        <v>2174694.214806797</v>
      </c>
      <c r="H47" s="32">
        <f>NPV(DiscountRate,K47:K$55)</f>
        <v>2939838.8970360947</v>
      </c>
      <c r="I47" s="32">
        <f ca="1">NPV(DiscountRate,F83:$F$91)*(1+DiscountRate)</f>
        <v>2444236.8187639234</v>
      </c>
      <c r="J47" s="32">
        <f t="shared" si="6"/>
        <v>332234.39265385154</v>
      </c>
      <c r="K47" s="32">
        <f t="shared" si="7"/>
        <v>282048.24238281243</v>
      </c>
      <c r="L47" s="32">
        <f t="shared" ca="1" si="8"/>
        <v>56052.857446022288</v>
      </c>
      <c r="M47" s="32">
        <f t="shared" ca="1" si="4"/>
        <v>26525.804449770134</v>
      </c>
      <c r="N47" s="32">
        <f t="shared" ca="1" si="13"/>
        <v>79713.203267291246</v>
      </c>
      <c r="O47" s="33">
        <f t="shared" ca="1" si="9"/>
        <v>0.23181702256246858</v>
      </c>
      <c r="P47" s="34">
        <f t="shared" ca="1" si="10"/>
        <v>1295801.6245394123</v>
      </c>
      <c r="Q47" s="32">
        <f t="shared" ca="1" si="11"/>
        <v>752967.96618308756</v>
      </c>
      <c r="R47" s="32">
        <f t="shared" si="12"/>
        <v>542833.65835632407</v>
      </c>
      <c r="T47" s="32">
        <f t="shared" ca="1" si="0"/>
        <v>0</v>
      </c>
      <c r="U47" s="32">
        <f t="shared" ca="1" si="1"/>
        <v>0</v>
      </c>
      <c r="V47" s="34">
        <f t="shared" ca="1" si="2"/>
        <v>137829.72949218744</v>
      </c>
    </row>
    <row r="48" spans="3:22" x14ac:dyDescent="0.25">
      <c r="E48" s="30">
        <f t="shared" si="5"/>
        <v>8</v>
      </c>
      <c r="F48" s="37">
        <f t="shared" si="3"/>
        <v>698.33729609374973</v>
      </c>
      <c r="G48" s="32">
        <f>NPV(DiscountRate,J48:J$55)*(1+DiscountRate)</f>
        <v>1906945.9159282979</v>
      </c>
      <c r="H48" s="32">
        <f>NPV(DiscountRate,K48:K$55)</f>
        <v>2760685.0160495462</v>
      </c>
      <c r="I48" s="32">
        <f ca="1">NPV(DiscountRate,F84:$F$91)*(1+DiscountRate)</f>
        <v>2217851.3576932214</v>
      </c>
      <c r="J48" s="32">
        <f t="shared" si="6"/>
        <v>315622.67302115896</v>
      </c>
      <c r="K48" s="32">
        <f t="shared" si="7"/>
        <v>307819.72919921868</v>
      </c>
      <c r="L48" s="32">
        <f t="shared" ca="1" si="8"/>
        <v>56399.850414619999</v>
      </c>
      <c r="M48" s="32">
        <f t="shared" ca="1" si="4"/>
        <v>-11524.748867368326</v>
      </c>
      <c r="N48" s="32">
        <f t="shared" ca="1" si="13"/>
        <v>75727.54310392862</v>
      </c>
      <c r="O48" s="33">
        <f t="shared" ca="1" si="9"/>
        <v>0.2318170225624745</v>
      </c>
      <c r="P48" s="34">
        <f t="shared" ca="1" si="10"/>
        <v>1284276.875672044</v>
      </c>
      <c r="Q48" s="32">
        <f t="shared" ca="1" si="11"/>
        <v>696884.57345126662</v>
      </c>
      <c r="R48" s="32">
        <f t="shared" si="12"/>
        <v>587392.30222077738</v>
      </c>
      <c r="T48" s="32">
        <f t="shared" ca="1" si="0"/>
        <v>0</v>
      </c>
      <c r="U48" s="32">
        <f t="shared" ca="1" si="1"/>
        <v>0</v>
      </c>
      <c r="V48" s="34">
        <f t="shared" ca="1" si="2"/>
        <v>209501.18882812496</v>
      </c>
    </row>
    <row r="49" spans="4:25" x14ac:dyDescent="0.25">
      <c r="E49" s="30">
        <f t="shared" si="5"/>
        <v>9</v>
      </c>
      <c r="F49" s="37">
        <f t="shared" si="3"/>
        <v>663.42043128906221</v>
      </c>
      <c r="G49" s="32">
        <f>NPV(DiscountRate,J49:J$55)*(1+DiscountRate)</f>
        <v>1647019.5564088889</v>
      </c>
      <c r="H49" s="32">
        <f>NPV(DiscountRate,K49:K$55)</f>
        <v>2549489.262412061</v>
      </c>
      <c r="I49" s="32">
        <f ca="1">NPV(DiscountRate,F85:$F$91)*(1+DiscountRate)</f>
        <v>1962096.9601912836</v>
      </c>
      <c r="J49" s="32">
        <f t="shared" si="6"/>
        <v>299841.539370101</v>
      </c>
      <c r="K49" s="32">
        <f t="shared" si="7"/>
        <v>331710.21564453113</v>
      </c>
      <c r="L49" s="32">
        <f t="shared" ca="1" si="8"/>
        <v>55444.14452647508</v>
      </c>
      <c r="M49" s="32">
        <f t="shared" ca="1" si="4"/>
        <v>-48365.697696686257</v>
      </c>
      <c r="N49" s="32">
        <f t="shared" ca="1" si="13"/>
        <v>71941.165948731184</v>
      </c>
      <c r="O49" s="33">
        <f t="shared" ca="1" si="9"/>
        <v>0.23181702256247128</v>
      </c>
      <c r="P49" s="34">
        <f t="shared" ca="1" si="10"/>
        <v>1235911.1779753577</v>
      </c>
      <c r="Q49" s="32">
        <f t="shared" ca="1" si="11"/>
        <v>607770.09941011644</v>
      </c>
      <c r="R49" s="32">
        <f t="shared" si="12"/>
        <v>628141.0785652406</v>
      </c>
      <c r="T49" s="32">
        <f t="shared" ca="1" si="0"/>
        <v>0</v>
      </c>
      <c r="U49" s="32">
        <f t="shared" ca="1" si="1"/>
        <v>0</v>
      </c>
      <c r="V49" s="34">
        <f t="shared" ca="1" si="2"/>
        <v>281953.68329785147</v>
      </c>
    </row>
    <row r="50" spans="4:25" x14ac:dyDescent="0.25">
      <c r="E50" s="30">
        <f t="shared" si="5"/>
        <v>10</v>
      </c>
      <c r="F50" s="37">
        <f t="shared" si="3"/>
        <v>630.24940972460911</v>
      </c>
      <c r="G50" s="32">
        <f>NPV(DiscountRate,J50:J$55)*(1+DiscountRate)</f>
        <v>1394329.2476351454</v>
      </c>
      <c r="H50" s="32">
        <f>NPV(DiscountRate,K50:K$55)</f>
        <v>2307011.1709519522</v>
      </c>
      <c r="I50" s="32">
        <f ca="1">NPV(DiscountRate,F86:$F$91)*(1+DiscountRate)</f>
        <v>1678870.0923867109</v>
      </c>
      <c r="J50" s="32">
        <f t="shared" si="6"/>
        <v>284849.46240159596</v>
      </c>
      <c r="K50" s="32">
        <f t="shared" si="7"/>
        <v>354515.29297009268</v>
      </c>
      <c r="L50" s="32">
        <f t="shared" ca="1" si="8"/>
        <v>53226.622413193385</v>
      </c>
      <c r="M50" s="32">
        <f t="shared" ca="1" si="4"/>
        <v>-84783.315806598403</v>
      </c>
      <c r="N50" s="32">
        <f t="shared" ca="1" si="13"/>
        <v>68344.107651295082</v>
      </c>
      <c r="O50" s="33">
        <f t="shared" ca="1" si="9"/>
        <v>0.2318170225624728</v>
      </c>
      <c r="P50" s="34">
        <f t="shared" ca="1" si="10"/>
        <v>1151127.8621687593</v>
      </c>
      <c r="Q50" s="32">
        <f t="shared" ca="1" si="11"/>
        <v>487781.36564905313</v>
      </c>
      <c r="R50" s="32">
        <f t="shared" si="12"/>
        <v>663346.49651970575</v>
      </c>
      <c r="T50" s="32">
        <f t="shared" ca="1" si="0"/>
        <v>0</v>
      </c>
      <c r="U50" s="32">
        <f t="shared" ca="1" si="1"/>
        <v>0</v>
      </c>
      <c r="V50" s="34">
        <f t="shared" ca="1" si="2"/>
        <v>354515.29297009268</v>
      </c>
    </row>
    <row r="51" spans="4:25" x14ac:dyDescent="0.25">
      <c r="E51" s="30">
        <f t="shared" si="5"/>
        <v>11</v>
      </c>
      <c r="F51" s="37">
        <f t="shared" si="3"/>
        <v>598.73693923837868</v>
      </c>
      <c r="G51" s="32">
        <f>NPV(DiscountRate,J51:J$55)*(1+DiscountRate)</f>
        <v>1148311.5777167236</v>
      </c>
      <c r="H51" s="32">
        <f>NPV(DiscountRate,K51:K$55)</f>
        <v>2033241.2689651775</v>
      </c>
      <c r="I51" s="32">
        <f ca="1">NPV(DiscountRate,F87:$F$91)*(1+DiscountRate)</f>
        <v>1369894.7724454713</v>
      </c>
      <c r="J51" s="32">
        <f t="shared" si="6"/>
        <v>270606.98928151617</v>
      </c>
      <c r="K51" s="32">
        <f t="shared" si="7"/>
        <v>374210.58702398668</v>
      </c>
      <c r="L51" s="32">
        <f t="shared" ca="1" si="8"/>
        <v>49760.719800759653</v>
      </c>
      <c r="M51" s="32">
        <f t="shared" ca="1" si="4"/>
        <v>-118769.78021044144</v>
      </c>
      <c r="N51" s="32">
        <f t="shared" ca="1" si="13"/>
        <v>64926.90226873057</v>
      </c>
      <c r="O51" s="33">
        <f t="shared" ca="1" si="9"/>
        <v>0.23181702256247366</v>
      </c>
      <c r="P51" s="34">
        <f t="shared" ca="1" si="10"/>
        <v>1032358.0819583179</v>
      </c>
      <c r="Q51" s="32">
        <f t="shared" ca="1" si="11"/>
        <v>338897.06197600684</v>
      </c>
      <c r="R51" s="32">
        <f t="shared" si="12"/>
        <v>693461.01998231118</v>
      </c>
      <c r="T51" s="32">
        <f t="shared" ca="1" si="0"/>
        <v>0</v>
      </c>
      <c r="U51" s="32">
        <f t="shared" ca="1" si="1"/>
        <v>0</v>
      </c>
      <c r="V51" s="34">
        <f t="shared" ca="1" si="2"/>
        <v>374210.58702398668</v>
      </c>
    </row>
    <row r="52" spans="4:25" x14ac:dyDescent="0.25">
      <c r="E52" s="30">
        <f t="shared" si="5"/>
        <v>12</v>
      </c>
      <c r="F52" s="37">
        <f t="shared" si="3"/>
        <v>568.80009227645974</v>
      </c>
      <c r="G52" s="32">
        <f>NPV(DiscountRate,J52:J$55)*(1+DiscountRate)</f>
        <v>908424.24903043953</v>
      </c>
      <c r="H52" s="32">
        <f>NPV(DiscountRate,K52:K$55)</f>
        <v>1730194.1263549714</v>
      </c>
      <c r="I52" s="32">
        <f ca="1">NPV(DiscountRate,F88:$F$91)*(1+DiscountRate)</f>
        <v>1036733.1063726604</v>
      </c>
      <c r="J52" s="32">
        <f t="shared" si="6"/>
        <v>257076.63981744033</v>
      </c>
      <c r="K52" s="32">
        <f t="shared" si="7"/>
        <v>395316.06413213949</v>
      </c>
      <c r="L52" s="32">
        <f t="shared" ca="1" si="8"/>
        <v>45130.215262151549</v>
      </c>
      <c r="M52" s="32">
        <f t="shared" ca="1" si="4"/>
        <v>-154789.76620784099</v>
      </c>
      <c r="N52" s="32">
        <f t="shared" ca="1" si="13"/>
        <v>61680.557155293354</v>
      </c>
      <c r="O52" s="33">
        <f t="shared" ca="1" si="9"/>
        <v>0.23181702256247111</v>
      </c>
      <c r="P52" s="34">
        <f t="shared" ca="1" si="10"/>
        <v>877568.3157504769</v>
      </c>
      <c r="Q52" s="32">
        <f t="shared" ca="1" si="11"/>
        <v>213460.32447376108</v>
      </c>
      <c r="R52" s="32">
        <f t="shared" si="12"/>
        <v>664107.99127671577</v>
      </c>
      <c r="T52" s="32">
        <f t="shared" ca="1" si="0"/>
        <v>0</v>
      </c>
      <c r="U52" s="32">
        <f t="shared" ca="1" si="1"/>
        <v>0</v>
      </c>
      <c r="V52" s="34">
        <f t="shared" ca="1" si="2"/>
        <v>395316.06413213949</v>
      </c>
    </row>
    <row r="53" spans="4:25" x14ac:dyDescent="0.25">
      <c r="E53" s="30">
        <f t="shared" si="5"/>
        <v>13</v>
      </c>
      <c r="F53" s="37">
        <f t="shared" si="3"/>
        <v>540.36008766263672</v>
      </c>
      <c r="G53" s="32">
        <f>NPV(DiscountRate,J53:J$55)*(1+DiscountRate)</f>
        <v>674144.77553545404</v>
      </c>
      <c r="H53" s="32">
        <f>NPV(DiscountRate,K53:K$55)</f>
        <v>1395434.856645256</v>
      </c>
      <c r="I53" s="32">
        <f ca="1">NPV(DiscountRate,F89:$F$91)*(1+DiscountRate)</f>
        <v>731326.86536854017</v>
      </c>
      <c r="J53" s="32">
        <f t="shared" si="6"/>
        <v>244222.80782656831</v>
      </c>
      <c r="K53" s="32">
        <f t="shared" si="7"/>
        <v>428235.36947263964</v>
      </c>
      <c r="L53" s="32">
        <f t="shared" ca="1" si="8"/>
        <v>39262.689325196588</v>
      </c>
      <c r="M53" s="32">
        <f t="shared" ca="1" si="4"/>
        <v>-203346.40161840385</v>
      </c>
      <c r="N53" s="32">
        <f t="shared" ca="1" si="13"/>
        <v>58596.529297529138</v>
      </c>
      <c r="O53" s="33">
        <f t="shared" ca="1" si="9"/>
        <v>0.23181702256247289</v>
      </c>
      <c r="P53" s="34">
        <f t="shared" ca="1" si="10"/>
        <v>674221.91413207306</v>
      </c>
      <c r="Q53" s="32">
        <f t="shared" ca="1" si="11"/>
        <v>101871.06912666553</v>
      </c>
      <c r="R53" s="32">
        <f t="shared" si="12"/>
        <v>572350.84500540746</v>
      </c>
      <c r="T53" s="32">
        <f t="shared" ca="1" si="0"/>
        <v>0</v>
      </c>
      <c r="U53" s="32">
        <f t="shared" ca="1" si="1"/>
        <v>0</v>
      </c>
      <c r="V53" s="34">
        <f t="shared" ca="1" si="2"/>
        <v>428235.36947263964</v>
      </c>
    </row>
    <row r="54" spans="4:25" x14ac:dyDescent="0.25">
      <c r="E54" s="30">
        <f t="shared" si="5"/>
        <v>14</v>
      </c>
      <c r="F54" s="37">
        <f t="shared" si="3"/>
        <v>513.34208327950489</v>
      </c>
      <c r="G54" s="32">
        <f>NPV(DiscountRate,J54:J$55)*(1+DiscountRate)</f>
        <v>444969.23657869676</v>
      </c>
      <c r="H54" s="32">
        <f>NPV(DiscountRate,K54:K$55)</f>
        <v>1016039.7071552001</v>
      </c>
      <c r="I54" s="32">
        <f ca="1">NPV(DiscountRate,F90:$F$91)*(1+DiscountRate)</f>
        <v>443688.86214979261</v>
      </c>
      <c r="J54" s="32">
        <f t="shared" si="6"/>
        <v>232011.66743523988</v>
      </c>
      <c r="K54" s="32">
        <f t="shared" si="7"/>
        <v>483824.91349093331</v>
      </c>
      <c r="L54" s="32">
        <f t="shared" ca="1" si="8"/>
        <v>31718.175354855957</v>
      </c>
      <c r="M54" s="32">
        <f t="shared" ca="1" si="4"/>
        <v>-275761.77353349008</v>
      </c>
      <c r="N54" s="32">
        <f t="shared" ca="1" si="13"/>
        <v>55666.702832652605</v>
      </c>
      <c r="O54" s="33">
        <f t="shared" ca="1" si="9"/>
        <v>0.23181702256247261</v>
      </c>
      <c r="P54" s="34">
        <f t="shared" ca="1" si="10"/>
        <v>398460.14059858298</v>
      </c>
      <c r="Q54" s="32">
        <f t="shared" ca="1" si="11"/>
        <v>19157.37906428217</v>
      </c>
      <c r="R54" s="32">
        <f t="shared" si="12"/>
        <v>379302.76153430087</v>
      </c>
      <c r="T54" s="32">
        <f t="shared" ca="1" si="0"/>
        <v>0</v>
      </c>
      <c r="U54" s="32">
        <f t="shared" ca="1" si="1"/>
        <v>0</v>
      </c>
      <c r="V54" s="34">
        <f t="shared" ca="1" si="2"/>
        <v>483824.91349093331</v>
      </c>
    </row>
    <row r="55" spans="4:25" x14ac:dyDescent="0.25">
      <c r="E55" s="38">
        <f t="shared" si="5"/>
        <v>15</v>
      </c>
      <c r="F55" s="39">
        <f t="shared" si="3"/>
        <v>487.6749791155296</v>
      </c>
      <c r="G55" s="40">
        <f>NPV(DiscountRate,J55:J$55)*(1+DiscountRate)</f>
        <v>220411.08406347787</v>
      </c>
      <c r="H55" s="40">
        <f>NPV(DiscountRate,K55:K$55)</f>
        <v>567776.18341469869</v>
      </c>
      <c r="I55" s="40">
        <f ca="1">NPV(DiscountRate,F91:$F$91)*(1+DiscountRate)</f>
        <v>188473.42188039789</v>
      </c>
      <c r="J55" s="40">
        <f t="shared" si="6"/>
        <v>220411.08406347787</v>
      </c>
      <c r="K55" s="40">
        <f t="shared" si="7"/>
        <v>587648.34983421315</v>
      </c>
      <c r="L55" s="40">
        <f t="shared" ca="1" si="8"/>
        <v>21660.49286317213</v>
      </c>
      <c r="M55" s="40">
        <f t="shared" ca="1" si="4"/>
        <v>-398460.14059858298</v>
      </c>
      <c r="N55" s="40">
        <f t="shared" ca="1" si="13"/>
        <v>52883.367691019841</v>
      </c>
      <c r="O55" s="41">
        <f t="shared" ca="1" si="9"/>
        <v>0.23181702256247202</v>
      </c>
      <c r="P55" s="42">
        <f t="shared" ca="1" si="10"/>
        <v>0</v>
      </c>
      <c r="Q55" s="40">
        <f t="shared" ca="1" si="11"/>
        <v>0</v>
      </c>
      <c r="R55" s="40">
        <f t="shared" si="12"/>
        <v>0</v>
      </c>
      <c r="T55" s="40">
        <f t="shared" ca="1" si="0"/>
        <v>0</v>
      </c>
      <c r="U55" s="40">
        <f t="shared" ca="1" si="1"/>
        <v>0</v>
      </c>
      <c r="V55" s="42">
        <f t="shared" ca="1" si="2"/>
        <v>587648.34983421315</v>
      </c>
    </row>
    <row r="56" spans="4:25" x14ac:dyDescent="0.25">
      <c r="F56" s="47"/>
      <c r="G56" s="47"/>
      <c r="H56" s="47"/>
      <c r="I56" s="47"/>
      <c r="J56" s="47"/>
      <c r="K56" s="47"/>
      <c r="L56" s="47"/>
      <c r="M56" s="47"/>
      <c r="N56" s="47"/>
      <c r="O56" s="47"/>
      <c r="P56" s="47"/>
      <c r="Q56" s="47"/>
      <c r="R56" s="47"/>
      <c r="S56" s="47"/>
    </row>
    <row r="57" spans="4:25" x14ac:dyDescent="0.25">
      <c r="D57" s="2" t="s">
        <v>88</v>
      </c>
      <c r="G57" s="49" t="s">
        <v>16</v>
      </c>
      <c r="H57" s="50"/>
    </row>
    <row r="58" spans="4:25" x14ac:dyDescent="0.25">
      <c r="E58" s="3" t="s">
        <v>12</v>
      </c>
      <c r="F58" s="53" t="s">
        <v>5</v>
      </c>
      <c r="G58" s="54">
        <v>1</v>
      </c>
      <c r="H58" s="54">
        <f>G58+1</f>
        <v>2</v>
      </c>
      <c r="I58" s="54">
        <f t="shared" ref="I58:U58" si="14">H58+1</f>
        <v>3</v>
      </c>
      <c r="J58" s="54">
        <f t="shared" si="14"/>
        <v>4</v>
      </c>
      <c r="K58" s="54">
        <f t="shared" si="14"/>
        <v>5</v>
      </c>
      <c r="L58" s="54">
        <f t="shared" si="14"/>
        <v>6</v>
      </c>
      <c r="M58" s="54">
        <f t="shared" si="14"/>
        <v>7</v>
      </c>
      <c r="N58" s="54">
        <f t="shared" si="14"/>
        <v>8</v>
      </c>
      <c r="O58" s="54">
        <f t="shared" si="14"/>
        <v>9</v>
      </c>
      <c r="P58" s="54">
        <f t="shared" si="14"/>
        <v>10</v>
      </c>
      <c r="Q58" s="54">
        <f t="shared" si="14"/>
        <v>11</v>
      </c>
      <c r="R58" s="54">
        <f t="shared" si="14"/>
        <v>12</v>
      </c>
      <c r="S58" s="54">
        <f t="shared" si="14"/>
        <v>13</v>
      </c>
      <c r="T58" s="54">
        <f t="shared" si="14"/>
        <v>14</v>
      </c>
      <c r="U58" s="54">
        <f t="shared" si="14"/>
        <v>15</v>
      </c>
    </row>
    <row r="59" spans="4:25" x14ac:dyDescent="0.25">
      <c r="E59" s="3">
        <v>1</v>
      </c>
      <c r="F59" s="82">
        <f t="shared" ref="F59:F73" ca="1" si="15">NPV(DiscountRate,OFFSET(G59,0,E59-1,1,5))</f>
        <v>91.231597440082965</v>
      </c>
      <c r="G59" s="83">
        <f>'Base Case'!G60</f>
        <v>25</v>
      </c>
      <c r="H59" s="83">
        <f>'Base Case'!H60</f>
        <v>21.25</v>
      </c>
      <c r="I59" s="83">
        <f>'Base Case'!I60</f>
        <v>18.0625</v>
      </c>
      <c r="J59" s="89">
        <f>'Claims Shock'!J59</f>
        <v>18.0625</v>
      </c>
      <c r="K59" s="84">
        <f>J59</f>
        <v>18.0625</v>
      </c>
      <c r="L59" s="15"/>
      <c r="M59" s="15"/>
      <c r="N59" s="15"/>
      <c r="O59" s="15"/>
      <c r="P59" s="15"/>
      <c r="Q59" s="15"/>
      <c r="R59" s="15"/>
      <c r="S59" s="15"/>
      <c r="T59" s="15"/>
      <c r="U59" s="15"/>
    </row>
    <row r="60" spans="4:25" x14ac:dyDescent="0.25">
      <c r="E60" s="3">
        <f>E59+1</f>
        <v>2</v>
      </c>
      <c r="F60" s="82">
        <f t="shared" ca="1" si="15"/>
        <v>148.01018234214499</v>
      </c>
      <c r="G60" s="15"/>
      <c r="H60" s="83">
        <f>'Base Case'!H61</f>
        <v>37.5</v>
      </c>
      <c r="I60" s="83">
        <f>'Base Case'!I61</f>
        <v>31.875</v>
      </c>
      <c r="J60" s="89">
        <f>'Claims Shock'!J60</f>
        <v>31.875</v>
      </c>
      <c r="K60" s="84">
        <f t="shared" ref="K60:K62" si="16">J60</f>
        <v>31.875</v>
      </c>
      <c r="L60" s="15">
        <f>K60*(1-ClaimTerm)</f>
        <v>30.28125</v>
      </c>
      <c r="M60" s="15"/>
      <c r="N60" s="15"/>
      <c r="O60" s="15"/>
      <c r="P60" s="15"/>
      <c r="Q60" s="15"/>
      <c r="R60" s="15"/>
      <c r="S60" s="15"/>
      <c r="T60" s="15"/>
      <c r="U60" s="15"/>
    </row>
    <row r="61" spans="4:25" x14ac:dyDescent="0.25">
      <c r="E61" s="3">
        <f t="shared" ref="E61:E73" si="17">E60+1</f>
        <v>3</v>
      </c>
      <c r="F61" s="82">
        <f t="shared" ca="1" si="15"/>
        <v>219.4693940158557</v>
      </c>
      <c r="G61" s="15"/>
      <c r="H61" s="15"/>
      <c r="I61" s="83">
        <f>'Base Case'!I62</f>
        <v>50</v>
      </c>
      <c r="J61" s="89">
        <f>'Claims Shock'!J61</f>
        <v>50</v>
      </c>
      <c r="K61" s="84">
        <f t="shared" si="16"/>
        <v>50</v>
      </c>
      <c r="L61" s="15">
        <f>K61*(1-ClaimTerm)</f>
        <v>47.5</v>
      </c>
      <c r="M61" s="15">
        <f>L61*(1-ClaimTerm)</f>
        <v>45.125</v>
      </c>
      <c r="N61" s="15"/>
      <c r="O61" s="15"/>
      <c r="P61" s="15"/>
      <c r="Q61" s="15"/>
      <c r="R61" s="15"/>
      <c r="S61" s="15"/>
      <c r="T61" s="15"/>
      <c r="U61" s="15"/>
      <c r="V61" s="15"/>
    </row>
    <row r="62" spans="4:25" x14ac:dyDescent="0.25">
      <c r="E62" s="3">
        <f t="shared" si="17"/>
        <v>4</v>
      </c>
      <c r="F62" s="82">
        <f t="shared" ca="1" si="15"/>
        <v>266.55645000397129</v>
      </c>
      <c r="G62" s="15"/>
      <c r="H62" s="15"/>
      <c r="I62" s="15"/>
      <c r="J62" s="89">
        <f>'Claims Shock'!J62</f>
        <v>62.5</v>
      </c>
      <c r="K62" s="84">
        <f t="shared" si="16"/>
        <v>62.5</v>
      </c>
      <c r="L62" s="15">
        <f>K62*(1-ClaimTerm)</f>
        <v>59.375</v>
      </c>
      <c r="M62" s="15">
        <f>L62*(1-ClaimTerm)</f>
        <v>56.40625</v>
      </c>
      <c r="N62" s="15">
        <f>M62*(1-ClaimTerm)</f>
        <v>53.5859375</v>
      </c>
      <c r="O62" s="15"/>
      <c r="P62" s="15"/>
      <c r="Q62" s="15"/>
      <c r="R62" s="15"/>
      <c r="S62" s="15"/>
      <c r="T62" s="15"/>
      <c r="U62" s="15"/>
      <c r="V62" s="15"/>
      <c r="W62" s="15"/>
    </row>
    <row r="63" spans="4:25" x14ac:dyDescent="0.25">
      <c r="E63" s="3">
        <f t="shared" si="17"/>
        <v>5</v>
      </c>
      <c r="F63" s="82">
        <f t="shared" ca="1" si="15"/>
        <v>307.49754141032435</v>
      </c>
      <c r="G63" s="15"/>
      <c r="H63" s="15"/>
      <c r="I63" s="15"/>
      <c r="J63" s="15"/>
      <c r="K63" s="15">
        <v>75</v>
      </c>
      <c r="L63" s="15">
        <f>K63*(1-ClaimTerm)</f>
        <v>71.25</v>
      </c>
      <c r="M63" s="15">
        <f>L63*(1-ClaimTerm)</f>
        <v>67.6875</v>
      </c>
      <c r="N63" s="15">
        <f>M63*(1-ClaimTerm)</f>
        <v>64.303124999999994</v>
      </c>
      <c r="O63" s="15">
        <f>N63*(1-ClaimTerm)</f>
        <v>61.087968749999995</v>
      </c>
      <c r="P63" s="15"/>
      <c r="Q63" s="15"/>
      <c r="R63" s="15"/>
      <c r="S63" s="15"/>
      <c r="T63" s="15"/>
      <c r="U63" s="15"/>
      <c r="V63" s="15"/>
      <c r="W63" s="15"/>
      <c r="X63" s="15"/>
    </row>
    <row r="64" spans="4:25" x14ac:dyDescent="0.25">
      <c r="E64" s="3">
        <f t="shared" si="17"/>
        <v>6</v>
      </c>
      <c r="F64" s="82">
        <f t="shared" ca="1" si="15"/>
        <v>358.74713164537843</v>
      </c>
      <c r="G64" s="15"/>
      <c r="H64" s="15"/>
      <c r="I64" s="15"/>
      <c r="J64" s="15"/>
      <c r="K64" s="15"/>
      <c r="L64" s="15">
        <v>87.5</v>
      </c>
      <c r="M64" s="15">
        <f>L64*(1-ClaimTerm)</f>
        <v>83.125</v>
      </c>
      <c r="N64" s="15">
        <f>M64*(1-ClaimTerm)</f>
        <v>78.96875</v>
      </c>
      <c r="O64" s="15">
        <f>N64*(1-ClaimTerm)</f>
        <v>75.020312500000003</v>
      </c>
      <c r="P64" s="15">
        <f>O64*(1-ClaimTerm)</f>
        <v>71.269296874999995</v>
      </c>
      <c r="Q64" s="15"/>
      <c r="R64" s="15"/>
      <c r="S64" s="15"/>
      <c r="T64" s="15"/>
      <c r="U64" s="15"/>
      <c r="V64" s="15"/>
      <c r="W64" s="15"/>
      <c r="X64" s="15"/>
      <c r="Y64" s="15"/>
    </row>
    <row r="65" spans="4:29" x14ac:dyDescent="0.25">
      <c r="E65" s="3">
        <f t="shared" si="17"/>
        <v>7</v>
      </c>
      <c r="F65" s="82">
        <f t="shared" ca="1" si="15"/>
        <v>409.99672188043246</v>
      </c>
      <c r="G65" s="15"/>
      <c r="H65" s="15"/>
      <c r="I65" s="15"/>
      <c r="J65" s="15"/>
      <c r="K65" s="15"/>
      <c r="L65" s="15"/>
      <c r="M65" s="15">
        <v>100</v>
      </c>
      <c r="N65" s="15">
        <f>M65*(1-ClaimTerm)</f>
        <v>95</v>
      </c>
      <c r="O65" s="15">
        <f>N65*(1-ClaimTerm)</f>
        <v>90.25</v>
      </c>
      <c r="P65" s="15">
        <f>O65*(1-ClaimTerm)</f>
        <v>85.737499999999997</v>
      </c>
      <c r="Q65" s="15">
        <f>P65*(1-ClaimTerm)</f>
        <v>81.450624999999988</v>
      </c>
      <c r="R65" s="15"/>
      <c r="S65" s="15"/>
      <c r="T65" s="15"/>
      <c r="U65" s="15"/>
      <c r="V65" s="15"/>
      <c r="W65" s="15"/>
      <c r="X65" s="15"/>
      <c r="Y65" s="15"/>
      <c r="Z65" s="15"/>
    </row>
    <row r="66" spans="4:29" x14ac:dyDescent="0.25">
      <c r="E66" s="3">
        <f t="shared" si="17"/>
        <v>8</v>
      </c>
      <c r="F66" s="82">
        <f t="shared" ca="1" si="15"/>
        <v>461.24631211548649</v>
      </c>
      <c r="G66" s="15"/>
      <c r="H66" s="15"/>
      <c r="I66" s="15"/>
      <c r="J66" s="15"/>
      <c r="K66" s="15"/>
      <c r="L66" s="15"/>
      <c r="M66" s="15"/>
      <c r="N66" s="15">
        <v>112.5</v>
      </c>
      <c r="O66" s="15">
        <f>N66*(1-ClaimTerm)</f>
        <v>106.875</v>
      </c>
      <c r="P66" s="15">
        <f>O66*(1-ClaimTerm)</f>
        <v>101.53125</v>
      </c>
      <c r="Q66" s="15">
        <f>P66*(1-ClaimTerm)</f>
        <v>96.454687499999991</v>
      </c>
      <c r="R66" s="15">
        <f>Q66*(1-ClaimTerm)</f>
        <v>91.631953124999981</v>
      </c>
      <c r="S66" s="15"/>
      <c r="T66" s="15"/>
      <c r="U66" s="15"/>
      <c r="V66" s="15"/>
      <c r="W66" s="15"/>
      <c r="X66" s="15"/>
      <c r="Y66" s="15"/>
      <c r="Z66" s="15"/>
      <c r="AA66" s="15"/>
    </row>
    <row r="67" spans="4:29" x14ac:dyDescent="0.25">
      <c r="E67" s="3">
        <f t="shared" si="17"/>
        <v>9</v>
      </c>
      <c r="F67" s="82">
        <f t="shared" ca="1" si="15"/>
        <v>512.49590235054052</v>
      </c>
      <c r="G67" s="15"/>
      <c r="H67" s="15"/>
      <c r="I67" s="15"/>
      <c r="J67" s="15"/>
      <c r="K67" s="15"/>
      <c r="L67" s="15"/>
      <c r="M67" s="15"/>
      <c r="N67" s="15"/>
      <c r="O67" s="15">
        <v>125</v>
      </c>
      <c r="P67" s="15">
        <f>O67*(1-ClaimTerm)</f>
        <v>118.75</v>
      </c>
      <c r="Q67" s="15">
        <f>P67*(1-ClaimTerm)</f>
        <v>112.8125</v>
      </c>
      <c r="R67" s="15">
        <f>Q67*(1-ClaimTerm)</f>
        <v>107.171875</v>
      </c>
      <c r="S67" s="15">
        <f>R67*(1-ClaimTerm)</f>
        <v>101.81328124999999</v>
      </c>
      <c r="T67" s="15"/>
      <c r="U67" s="15"/>
      <c r="V67" s="15"/>
      <c r="W67" s="15"/>
      <c r="X67" s="15"/>
      <c r="Y67" s="15"/>
      <c r="Z67" s="15"/>
      <c r="AA67" s="15"/>
      <c r="AB67" s="15"/>
    </row>
    <row r="68" spans="4:29" x14ac:dyDescent="0.25">
      <c r="E68" s="3">
        <f t="shared" si="17"/>
        <v>10</v>
      </c>
      <c r="F68" s="82">
        <f t="shared" ca="1" si="15"/>
        <v>563.74549258559477</v>
      </c>
      <c r="G68" s="15"/>
      <c r="H68" s="15"/>
      <c r="I68" s="15"/>
      <c r="J68" s="15"/>
      <c r="K68" s="15"/>
      <c r="L68" s="15"/>
      <c r="M68" s="15"/>
      <c r="N68" s="15"/>
      <c r="O68" s="15"/>
      <c r="P68" s="15">
        <v>137.50000000000006</v>
      </c>
      <c r="Q68" s="15">
        <f>P68*(1-ClaimTerm)</f>
        <v>130.62500000000006</v>
      </c>
      <c r="R68" s="15">
        <f>Q68*(1-ClaimTerm)</f>
        <v>124.09375000000004</v>
      </c>
      <c r="S68" s="15">
        <f>R68*(1-ClaimTerm)</f>
        <v>117.88906250000004</v>
      </c>
      <c r="T68" s="15">
        <f>S68*(1-ClaimTerm)</f>
        <v>111.99460937500002</v>
      </c>
      <c r="U68" s="15"/>
      <c r="V68" s="15"/>
      <c r="W68" s="15"/>
      <c r="X68" s="15"/>
      <c r="Y68" s="15"/>
      <c r="Z68" s="15"/>
      <c r="AA68" s="15"/>
      <c r="AB68" s="15"/>
      <c r="AC68" s="15"/>
    </row>
    <row r="69" spans="4:29" x14ac:dyDescent="0.25">
      <c r="E69" s="3">
        <f t="shared" si="17"/>
        <v>11</v>
      </c>
      <c r="F69" s="82">
        <f t="shared" ca="1" si="15"/>
        <v>614.99508282064869</v>
      </c>
      <c r="G69" s="15"/>
      <c r="H69" s="15"/>
      <c r="I69" s="15"/>
      <c r="J69" s="15"/>
      <c r="K69" s="15"/>
      <c r="L69" s="15"/>
      <c r="M69" s="15"/>
      <c r="N69" s="15"/>
      <c r="O69" s="15"/>
      <c r="P69" s="15"/>
      <c r="Q69" s="15">
        <v>150</v>
      </c>
      <c r="R69" s="15">
        <f>Q69*(1-ClaimTerm)</f>
        <v>142.5</v>
      </c>
      <c r="S69" s="15">
        <f>R69*(1-ClaimTerm)</f>
        <v>135.375</v>
      </c>
      <c r="T69" s="15">
        <f>S69*(1-ClaimTerm)</f>
        <v>128.60624999999999</v>
      </c>
      <c r="U69" s="15">
        <f>T69*(1-ClaimTerm)</f>
        <v>122.17593749999999</v>
      </c>
      <c r="V69" s="15"/>
      <c r="W69" s="15"/>
      <c r="X69" s="15"/>
      <c r="Y69" s="15"/>
      <c r="Z69" s="15"/>
      <c r="AA69" s="15"/>
      <c r="AB69" s="15"/>
      <c r="AC69" s="15"/>
    </row>
    <row r="70" spans="4:29" x14ac:dyDescent="0.25">
      <c r="E70" s="3">
        <f t="shared" si="17"/>
        <v>12</v>
      </c>
      <c r="F70" s="82">
        <f t="shared" ca="1" si="15"/>
        <v>580.40971805117977</v>
      </c>
      <c r="G70" s="15"/>
      <c r="H70" s="15"/>
      <c r="I70" s="15"/>
      <c r="J70" s="15"/>
      <c r="K70" s="15"/>
      <c r="L70" s="15"/>
      <c r="M70" s="15"/>
      <c r="N70" s="15"/>
      <c r="O70" s="15"/>
      <c r="P70" s="15"/>
      <c r="Q70" s="15"/>
      <c r="R70" s="15">
        <v>170</v>
      </c>
      <c r="S70" s="15">
        <f>R70*(1-ClaimTerm)</f>
        <v>161.5</v>
      </c>
      <c r="T70" s="15">
        <f>S70*(1-ClaimTerm)</f>
        <v>153.42499999999998</v>
      </c>
      <c r="U70" s="15">
        <f>T70*(1-ClaimTerm)</f>
        <v>145.75374999999997</v>
      </c>
      <c r="V70" s="15"/>
      <c r="W70" s="15"/>
      <c r="X70" s="15"/>
      <c r="Y70" s="15"/>
      <c r="Z70" s="15"/>
      <c r="AA70" s="15"/>
      <c r="AB70" s="15"/>
      <c r="AC70" s="15"/>
    </row>
    <row r="71" spans="4:29" x14ac:dyDescent="0.25">
      <c r="E71" s="3">
        <f t="shared" si="17"/>
        <v>13</v>
      </c>
      <c r="F71" s="82">
        <f t="shared" ca="1" si="15"/>
        <v>560.07462673946702</v>
      </c>
      <c r="G71" s="15"/>
      <c r="H71" s="15"/>
      <c r="I71" s="15"/>
      <c r="J71" s="15"/>
      <c r="K71" s="15"/>
      <c r="L71" s="15"/>
      <c r="M71" s="15"/>
      <c r="N71" s="15"/>
      <c r="O71" s="15"/>
      <c r="P71" s="15"/>
      <c r="Q71" s="15"/>
      <c r="R71" s="15"/>
      <c r="S71" s="15">
        <f>'Claims Shock'!S71</f>
        <v>210</v>
      </c>
      <c r="T71" s="15">
        <f>S71*(1-ClaimTerm)</f>
        <v>199.5</v>
      </c>
      <c r="U71" s="15">
        <f>T71*(1-ClaimTerm)</f>
        <v>189.52499999999998</v>
      </c>
      <c r="V71" s="15"/>
      <c r="W71" s="15"/>
      <c r="X71" s="15"/>
      <c r="Y71" s="15"/>
      <c r="Z71" s="15"/>
      <c r="AA71" s="15"/>
      <c r="AB71" s="15"/>
      <c r="AC71" s="15"/>
    </row>
    <row r="72" spans="4:29" x14ac:dyDescent="0.25">
      <c r="E72" s="3">
        <f t="shared" si="17"/>
        <v>14</v>
      </c>
      <c r="F72" s="82">
        <f t="shared" ca="1" si="15"/>
        <v>509.58015356251025</v>
      </c>
      <c r="G72" s="15"/>
      <c r="H72" s="15"/>
      <c r="I72" s="15"/>
      <c r="J72" s="15"/>
      <c r="K72" s="15"/>
      <c r="L72" s="15"/>
      <c r="M72" s="15"/>
      <c r="N72" s="15"/>
      <c r="O72" s="15"/>
      <c r="P72" s="15"/>
      <c r="Q72" s="15"/>
      <c r="R72" s="15"/>
      <c r="S72" s="15"/>
      <c r="T72" s="15">
        <f>'Claims Shock'!T72</f>
        <v>275</v>
      </c>
      <c r="U72" s="15">
        <f>T72*(1-ClaimTerm)</f>
        <v>261.25</v>
      </c>
      <c r="V72" s="15"/>
      <c r="W72" s="15"/>
      <c r="X72" s="15"/>
      <c r="Y72" s="15"/>
      <c r="Z72" s="15"/>
      <c r="AA72" s="15"/>
      <c r="AB72" s="15"/>
      <c r="AC72" s="15"/>
    </row>
    <row r="73" spans="4:29" x14ac:dyDescent="0.25">
      <c r="E73" s="3">
        <f t="shared" si="17"/>
        <v>15</v>
      </c>
      <c r="F73" s="82">
        <f t="shared" ca="1" si="15"/>
        <v>386.47342995169083</v>
      </c>
      <c r="G73" s="15"/>
      <c r="H73" s="15"/>
      <c r="I73" s="15"/>
      <c r="J73" s="15"/>
      <c r="K73" s="15"/>
      <c r="L73" s="15"/>
      <c r="M73" s="15"/>
      <c r="N73" s="15"/>
      <c r="O73" s="15"/>
      <c r="P73" s="15"/>
      <c r="Q73" s="15"/>
      <c r="R73" s="15"/>
      <c r="S73" s="15"/>
      <c r="T73" s="15"/>
      <c r="U73" s="15">
        <f>'Claims Shock'!U73</f>
        <v>400</v>
      </c>
      <c r="V73" s="15"/>
      <c r="W73" s="15"/>
      <c r="X73" s="15"/>
      <c r="Y73" s="15"/>
      <c r="Z73" s="15"/>
      <c r="AA73" s="15"/>
      <c r="AB73" s="15"/>
      <c r="AC73" s="15"/>
    </row>
    <row r="74" spans="4:29" x14ac:dyDescent="0.25">
      <c r="F74" s="15"/>
      <c r="G74" s="58"/>
      <c r="H74" s="58"/>
      <c r="I74" s="58"/>
      <c r="J74" s="58"/>
      <c r="K74" s="58"/>
      <c r="L74" s="58"/>
      <c r="M74" s="58"/>
      <c r="N74" s="58"/>
      <c r="O74" s="58"/>
      <c r="P74" s="58"/>
      <c r="Q74" s="58"/>
      <c r="R74" s="58"/>
      <c r="S74" s="58"/>
      <c r="T74" s="58"/>
    </row>
    <row r="75" spans="4:29" x14ac:dyDescent="0.25">
      <c r="D75" s="2" t="s">
        <v>89</v>
      </c>
      <c r="F75" s="15"/>
      <c r="G75" s="49" t="s">
        <v>16</v>
      </c>
      <c r="H75" s="58"/>
      <c r="I75" s="58"/>
      <c r="J75" s="58"/>
      <c r="K75" s="58"/>
      <c r="L75" s="58"/>
      <c r="M75" s="58"/>
      <c r="N75" s="58"/>
      <c r="O75" s="58"/>
      <c r="P75" s="58"/>
      <c r="Q75" s="58"/>
      <c r="R75" s="58"/>
      <c r="S75" s="58"/>
      <c r="T75" s="58"/>
    </row>
    <row r="76" spans="4:29" x14ac:dyDescent="0.25">
      <c r="E76" s="3" t="s">
        <v>12</v>
      </c>
      <c r="F76" s="53" t="s">
        <v>5</v>
      </c>
      <c r="G76" s="54">
        <v>1</v>
      </c>
      <c r="H76" s="54">
        <f>G76+1</f>
        <v>2</v>
      </c>
      <c r="I76" s="54">
        <f t="shared" ref="I76:U76" si="18">H76+1</f>
        <v>3</v>
      </c>
      <c r="J76" s="54">
        <f t="shared" si="18"/>
        <v>4</v>
      </c>
      <c r="K76" s="54">
        <f t="shared" si="18"/>
        <v>5</v>
      </c>
      <c r="L76" s="54">
        <f t="shared" si="18"/>
        <v>6</v>
      </c>
      <c r="M76" s="54">
        <f t="shared" si="18"/>
        <v>7</v>
      </c>
      <c r="N76" s="54">
        <f t="shared" si="18"/>
        <v>8</v>
      </c>
      <c r="O76" s="54">
        <f t="shared" si="18"/>
        <v>9</v>
      </c>
      <c r="P76" s="54">
        <f t="shared" si="18"/>
        <v>10</v>
      </c>
      <c r="Q76" s="54">
        <f t="shared" si="18"/>
        <v>11</v>
      </c>
      <c r="R76" s="54">
        <f t="shared" si="18"/>
        <v>12</v>
      </c>
      <c r="S76" s="54">
        <f t="shared" si="18"/>
        <v>13</v>
      </c>
      <c r="T76" s="54">
        <f t="shared" si="18"/>
        <v>14</v>
      </c>
      <c r="U76" s="54">
        <f t="shared" si="18"/>
        <v>15</v>
      </c>
    </row>
    <row r="77" spans="4:29" x14ac:dyDescent="0.25">
      <c r="E77" s="3">
        <v>1</v>
      </c>
      <c r="F77" s="82">
        <f t="shared" ref="F77:U91" ca="1" si="19">F59*$F41</f>
        <v>91231.597440082958</v>
      </c>
      <c r="G77" s="15">
        <f t="shared" si="19"/>
        <v>25000</v>
      </c>
      <c r="H77" s="15">
        <f t="shared" si="19"/>
        <v>21250</v>
      </c>
      <c r="I77" s="15">
        <f t="shared" si="19"/>
        <v>18062.5</v>
      </c>
      <c r="J77" s="15">
        <f t="shared" si="19"/>
        <v>18062.5</v>
      </c>
      <c r="K77" s="15">
        <f t="shared" si="19"/>
        <v>18062.5</v>
      </c>
      <c r="L77" s="15">
        <f t="shared" si="19"/>
        <v>0</v>
      </c>
      <c r="M77" s="15">
        <f t="shared" si="19"/>
        <v>0</v>
      </c>
      <c r="N77" s="15">
        <f t="shared" si="19"/>
        <v>0</v>
      </c>
      <c r="O77" s="15">
        <f t="shared" si="19"/>
        <v>0</v>
      </c>
      <c r="P77" s="15">
        <f t="shared" si="19"/>
        <v>0</v>
      </c>
      <c r="Q77" s="15">
        <f t="shared" si="19"/>
        <v>0</v>
      </c>
      <c r="R77" s="15">
        <f t="shared" si="19"/>
        <v>0</v>
      </c>
      <c r="S77" s="15">
        <f t="shared" si="19"/>
        <v>0</v>
      </c>
      <c r="T77" s="15">
        <f t="shared" si="19"/>
        <v>0</v>
      </c>
      <c r="U77" s="15">
        <f t="shared" si="19"/>
        <v>0</v>
      </c>
    </row>
    <row r="78" spans="4:29" x14ac:dyDescent="0.25">
      <c r="E78" s="3">
        <f>E77+1</f>
        <v>2</v>
      </c>
      <c r="F78" s="82">
        <f t="shared" ca="1" si="19"/>
        <v>140609.67322503772</v>
      </c>
      <c r="G78" s="15">
        <f t="shared" si="19"/>
        <v>0</v>
      </c>
      <c r="H78" s="15">
        <f t="shared" si="19"/>
        <v>35625</v>
      </c>
      <c r="I78" s="15">
        <f t="shared" si="19"/>
        <v>30281.25</v>
      </c>
      <c r="J78" s="15">
        <f t="shared" si="19"/>
        <v>30281.25</v>
      </c>
      <c r="K78" s="15">
        <f t="shared" si="19"/>
        <v>30281.25</v>
      </c>
      <c r="L78" s="15">
        <f t="shared" si="19"/>
        <v>28767.1875</v>
      </c>
      <c r="M78" s="15">
        <f t="shared" si="19"/>
        <v>0</v>
      </c>
      <c r="N78" s="15">
        <f t="shared" si="19"/>
        <v>0</v>
      </c>
      <c r="O78" s="15">
        <f t="shared" si="19"/>
        <v>0</v>
      </c>
      <c r="P78" s="15">
        <f t="shared" si="19"/>
        <v>0</v>
      </c>
      <c r="Q78" s="15">
        <f t="shared" si="19"/>
        <v>0</v>
      </c>
      <c r="R78" s="15">
        <f t="shared" si="19"/>
        <v>0</v>
      </c>
      <c r="S78" s="15">
        <f t="shared" si="19"/>
        <v>0</v>
      </c>
      <c r="T78" s="15">
        <f t="shared" si="19"/>
        <v>0</v>
      </c>
      <c r="U78" s="15">
        <f t="shared" si="19"/>
        <v>0</v>
      </c>
    </row>
    <row r="79" spans="4:29" x14ac:dyDescent="0.25">
      <c r="E79" s="3">
        <f t="shared" ref="E79:E91" si="20">E78+1</f>
        <v>3</v>
      </c>
      <c r="F79" s="82">
        <f t="shared" ca="1" si="19"/>
        <v>198071.12809930978</v>
      </c>
      <c r="G79" s="15">
        <f t="shared" si="19"/>
        <v>0</v>
      </c>
      <c r="H79" s="15">
        <f t="shared" si="19"/>
        <v>0</v>
      </c>
      <c r="I79" s="15">
        <f t="shared" si="19"/>
        <v>45125</v>
      </c>
      <c r="J79" s="15">
        <f t="shared" si="19"/>
        <v>45125</v>
      </c>
      <c r="K79" s="15">
        <f t="shared" si="19"/>
        <v>45125</v>
      </c>
      <c r="L79" s="15">
        <f t="shared" si="19"/>
        <v>42868.75</v>
      </c>
      <c r="M79" s="15">
        <f t="shared" si="19"/>
        <v>40725.3125</v>
      </c>
      <c r="N79" s="15">
        <f t="shared" si="19"/>
        <v>0</v>
      </c>
      <c r="O79" s="15">
        <f t="shared" si="19"/>
        <v>0</v>
      </c>
      <c r="P79" s="15">
        <f t="shared" si="19"/>
        <v>0</v>
      </c>
      <c r="Q79" s="15">
        <f t="shared" si="19"/>
        <v>0</v>
      </c>
      <c r="R79" s="15">
        <f t="shared" si="19"/>
        <v>0</v>
      </c>
      <c r="S79" s="15">
        <f t="shared" si="19"/>
        <v>0</v>
      </c>
      <c r="T79" s="15">
        <f t="shared" si="19"/>
        <v>0</v>
      </c>
      <c r="U79" s="15">
        <f t="shared" si="19"/>
        <v>0</v>
      </c>
    </row>
    <row r="80" spans="4:29" x14ac:dyDescent="0.25">
      <c r="E80" s="3">
        <f t="shared" si="20"/>
        <v>4</v>
      </c>
      <c r="F80" s="82">
        <f t="shared" ca="1" si="19"/>
        <v>228538.83632215488</v>
      </c>
      <c r="G80" s="15">
        <f t="shared" si="19"/>
        <v>0</v>
      </c>
      <c r="H80" s="15">
        <f t="shared" si="19"/>
        <v>0</v>
      </c>
      <c r="I80" s="15">
        <f t="shared" si="19"/>
        <v>0</v>
      </c>
      <c r="J80" s="15">
        <f t="shared" si="19"/>
        <v>53585.9375</v>
      </c>
      <c r="K80" s="15">
        <f t="shared" si="19"/>
        <v>53585.9375</v>
      </c>
      <c r="L80" s="15">
        <f t="shared" si="19"/>
        <v>50906.640625</v>
      </c>
      <c r="M80" s="15">
        <f t="shared" si="19"/>
        <v>48361.30859375</v>
      </c>
      <c r="N80" s="15">
        <f t="shared" si="19"/>
        <v>45943.2431640625</v>
      </c>
      <c r="O80" s="15">
        <f t="shared" si="19"/>
        <v>0</v>
      </c>
      <c r="P80" s="15">
        <f t="shared" si="19"/>
        <v>0</v>
      </c>
      <c r="Q80" s="15">
        <f t="shared" si="19"/>
        <v>0</v>
      </c>
      <c r="R80" s="15">
        <f t="shared" si="19"/>
        <v>0</v>
      </c>
      <c r="S80" s="15">
        <f t="shared" si="19"/>
        <v>0</v>
      </c>
      <c r="T80" s="15">
        <f t="shared" si="19"/>
        <v>0</v>
      </c>
      <c r="U80" s="15">
        <f t="shared" si="19"/>
        <v>0</v>
      </c>
    </row>
    <row r="81" spans="4:21" x14ac:dyDescent="0.25">
      <c r="E81" s="3">
        <f t="shared" si="20"/>
        <v>5</v>
      </c>
      <c r="F81" s="82">
        <f t="shared" ca="1" si="19"/>
        <v>250458.66933834297</v>
      </c>
      <c r="G81" s="15">
        <f t="shared" si="19"/>
        <v>0</v>
      </c>
      <c r="H81" s="15">
        <f t="shared" si="19"/>
        <v>0</v>
      </c>
      <c r="I81" s="15">
        <f t="shared" si="19"/>
        <v>0</v>
      </c>
      <c r="J81" s="15">
        <f t="shared" si="19"/>
        <v>0</v>
      </c>
      <c r="K81" s="15">
        <f t="shared" si="19"/>
        <v>61087.968749999993</v>
      </c>
      <c r="L81" s="15">
        <f t="shared" si="19"/>
        <v>58033.570312499993</v>
      </c>
      <c r="M81" s="15">
        <f t="shared" si="19"/>
        <v>55131.891796874996</v>
      </c>
      <c r="N81" s="15">
        <f t="shared" si="19"/>
        <v>52375.297207031239</v>
      </c>
      <c r="O81" s="15">
        <f t="shared" si="19"/>
        <v>49756.532346679676</v>
      </c>
      <c r="P81" s="15">
        <f t="shared" si="19"/>
        <v>0</v>
      </c>
      <c r="Q81" s="15">
        <f t="shared" si="19"/>
        <v>0</v>
      </c>
      <c r="R81" s="15">
        <f t="shared" si="19"/>
        <v>0</v>
      </c>
      <c r="S81" s="15">
        <f t="shared" si="19"/>
        <v>0</v>
      </c>
      <c r="T81" s="15">
        <f t="shared" si="19"/>
        <v>0</v>
      </c>
      <c r="U81" s="15">
        <f t="shared" si="19"/>
        <v>0</v>
      </c>
    </row>
    <row r="82" spans="4:21" x14ac:dyDescent="0.25">
      <c r="E82" s="3">
        <f t="shared" si="20"/>
        <v>6</v>
      </c>
      <c r="F82" s="82">
        <f t="shared" ca="1" si="19"/>
        <v>277591.6918499968</v>
      </c>
      <c r="G82" s="15">
        <f t="shared" si="19"/>
        <v>0</v>
      </c>
      <c r="H82" s="15">
        <f t="shared" si="19"/>
        <v>0</v>
      </c>
      <c r="I82" s="15">
        <f t="shared" si="19"/>
        <v>0</v>
      </c>
      <c r="J82" s="15">
        <f t="shared" si="19"/>
        <v>0</v>
      </c>
      <c r="K82" s="15">
        <f t="shared" si="19"/>
        <v>0</v>
      </c>
      <c r="L82" s="15">
        <f t="shared" si="19"/>
        <v>67705.832031249985</v>
      </c>
      <c r="M82" s="15">
        <f t="shared" si="19"/>
        <v>64320.540429687484</v>
      </c>
      <c r="N82" s="15">
        <f t="shared" si="19"/>
        <v>61104.513408203115</v>
      </c>
      <c r="O82" s="15">
        <f t="shared" si="19"/>
        <v>58049.287737792954</v>
      </c>
      <c r="P82" s="15">
        <f t="shared" si="19"/>
        <v>55146.823350903302</v>
      </c>
      <c r="Q82" s="15">
        <f t="shared" si="19"/>
        <v>0</v>
      </c>
      <c r="R82" s="15">
        <f t="shared" si="19"/>
        <v>0</v>
      </c>
      <c r="S82" s="15">
        <f t="shared" si="19"/>
        <v>0</v>
      </c>
      <c r="T82" s="15">
        <f t="shared" si="19"/>
        <v>0</v>
      </c>
      <c r="U82" s="15">
        <f t="shared" si="19"/>
        <v>0</v>
      </c>
    </row>
    <row r="83" spans="4:21" x14ac:dyDescent="0.25">
      <c r="E83" s="3">
        <f t="shared" si="20"/>
        <v>7</v>
      </c>
      <c r="F83" s="82">
        <f t="shared" ca="1" si="19"/>
        <v>301385.26543713931</v>
      </c>
      <c r="G83" s="15">
        <f t="shared" si="19"/>
        <v>0</v>
      </c>
      <c r="H83" s="15">
        <f t="shared" si="19"/>
        <v>0</v>
      </c>
      <c r="I83" s="15">
        <f t="shared" si="19"/>
        <v>0</v>
      </c>
      <c r="J83" s="15">
        <f t="shared" si="19"/>
        <v>0</v>
      </c>
      <c r="K83" s="15">
        <f t="shared" si="19"/>
        <v>0</v>
      </c>
      <c r="L83" s="15">
        <f t="shared" si="19"/>
        <v>0</v>
      </c>
      <c r="M83" s="15">
        <f t="shared" si="19"/>
        <v>73509.18906249998</v>
      </c>
      <c r="N83" s="15">
        <f t="shared" si="19"/>
        <v>69833.729609374976</v>
      </c>
      <c r="O83" s="15">
        <f t="shared" si="19"/>
        <v>66342.043128906225</v>
      </c>
      <c r="P83" s="15">
        <f t="shared" si="19"/>
        <v>63024.940972460914</v>
      </c>
      <c r="Q83" s="15">
        <f t="shared" si="19"/>
        <v>59873.693923837862</v>
      </c>
      <c r="R83" s="15">
        <f t="shared" si="19"/>
        <v>0</v>
      </c>
      <c r="S83" s="15">
        <f t="shared" si="19"/>
        <v>0</v>
      </c>
      <c r="T83" s="15">
        <f t="shared" si="19"/>
        <v>0</v>
      </c>
      <c r="U83" s="15">
        <f t="shared" si="19"/>
        <v>0</v>
      </c>
    </row>
    <row r="84" spans="4:21" x14ac:dyDescent="0.25">
      <c r="E84" s="3">
        <f t="shared" si="20"/>
        <v>8</v>
      </c>
      <c r="F84" s="82">
        <f t="shared" ca="1" si="19"/>
        <v>322105.50243594259</v>
      </c>
      <c r="G84" s="15">
        <f t="shared" si="19"/>
        <v>0</v>
      </c>
      <c r="H84" s="15">
        <f t="shared" si="19"/>
        <v>0</v>
      </c>
      <c r="I84" s="15">
        <f t="shared" si="19"/>
        <v>0</v>
      </c>
      <c r="J84" s="15">
        <f t="shared" si="19"/>
        <v>0</v>
      </c>
      <c r="K84" s="15">
        <f t="shared" si="19"/>
        <v>0</v>
      </c>
      <c r="L84" s="15">
        <f t="shared" si="19"/>
        <v>0</v>
      </c>
      <c r="M84" s="15">
        <f t="shared" si="19"/>
        <v>0</v>
      </c>
      <c r="N84" s="15">
        <f t="shared" si="19"/>
        <v>78562.945810546851</v>
      </c>
      <c r="O84" s="15">
        <f t="shared" si="19"/>
        <v>74634.798520019496</v>
      </c>
      <c r="P84" s="15">
        <f t="shared" si="19"/>
        <v>70903.058594018526</v>
      </c>
      <c r="Q84" s="15">
        <f t="shared" si="19"/>
        <v>67357.905664317601</v>
      </c>
      <c r="R84" s="15">
        <f t="shared" si="19"/>
        <v>63990.010381101711</v>
      </c>
      <c r="S84" s="15">
        <f t="shared" si="19"/>
        <v>0</v>
      </c>
      <c r="T84" s="15">
        <f t="shared" si="19"/>
        <v>0</v>
      </c>
      <c r="U84" s="15">
        <f t="shared" si="19"/>
        <v>0</v>
      </c>
    </row>
    <row r="85" spans="4:21" x14ac:dyDescent="0.25">
      <c r="E85" s="3">
        <f t="shared" si="20"/>
        <v>9</v>
      </c>
      <c r="F85" s="82">
        <f t="shared" ca="1" si="19"/>
        <v>340000.25257127272</v>
      </c>
      <c r="G85" s="15">
        <f t="shared" si="19"/>
        <v>0</v>
      </c>
      <c r="H85" s="15">
        <f t="shared" si="19"/>
        <v>0</v>
      </c>
      <c r="I85" s="15">
        <f t="shared" si="19"/>
        <v>0</v>
      </c>
      <c r="J85" s="15">
        <f t="shared" si="19"/>
        <v>0</v>
      </c>
      <c r="K85" s="15">
        <f t="shared" si="19"/>
        <v>0</v>
      </c>
      <c r="L85" s="15">
        <f t="shared" si="19"/>
        <v>0</v>
      </c>
      <c r="M85" s="15">
        <f t="shared" si="19"/>
        <v>0</v>
      </c>
      <c r="N85" s="15">
        <f t="shared" si="19"/>
        <v>0</v>
      </c>
      <c r="O85" s="15">
        <f t="shared" si="19"/>
        <v>82927.553911132782</v>
      </c>
      <c r="P85" s="15">
        <f t="shared" si="19"/>
        <v>78781.176215576139</v>
      </c>
      <c r="Q85" s="15">
        <f t="shared" si="19"/>
        <v>74842.117404797333</v>
      </c>
      <c r="R85" s="15">
        <f t="shared" si="19"/>
        <v>71100.01153455746</v>
      </c>
      <c r="S85" s="15">
        <f t="shared" si="19"/>
        <v>67545.010957829581</v>
      </c>
      <c r="T85" s="15">
        <f t="shared" si="19"/>
        <v>0</v>
      </c>
      <c r="U85" s="15">
        <f t="shared" si="19"/>
        <v>0</v>
      </c>
    </row>
    <row r="86" spans="4:21" x14ac:dyDescent="0.25">
      <c r="E86" s="3">
        <f t="shared" si="20"/>
        <v>10</v>
      </c>
      <c r="F86" s="82">
        <f t="shared" ca="1" si="19"/>
        <v>355300.2639369801</v>
      </c>
      <c r="G86" s="15">
        <f t="shared" si="19"/>
        <v>0</v>
      </c>
      <c r="H86" s="15">
        <f t="shared" si="19"/>
        <v>0</v>
      </c>
      <c r="I86" s="15">
        <f t="shared" si="19"/>
        <v>0</v>
      </c>
      <c r="J86" s="15">
        <f t="shared" si="19"/>
        <v>0</v>
      </c>
      <c r="K86" s="15">
        <f t="shared" si="19"/>
        <v>0</v>
      </c>
      <c r="L86" s="15">
        <f t="shared" si="19"/>
        <v>0</v>
      </c>
      <c r="M86" s="15">
        <f t="shared" si="19"/>
        <v>0</v>
      </c>
      <c r="N86" s="15">
        <f t="shared" si="19"/>
        <v>0</v>
      </c>
      <c r="O86" s="15">
        <f t="shared" si="19"/>
        <v>0</v>
      </c>
      <c r="P86" s="15">
        <f t="shared" si="19"/>
        <v>86659.293837133795</v>
      </c>
      <c r="Q86" s="15">
        <f t="shared" si="19"/>
        <v>82326.329145277094</v>
      </c>
      <c r="R86" s="15">
        <f t="shared" si="19"/>
        <v>78210.012688013245</v>
      </c>
      <c r="S86" s="15">
        <f t="shared" si="19"/>
        <v>74299.512053612576</v>
      </c>
      <c r="T86" s="15">
        <f t="shared" si="19"/>
        <v>70584.536450931933</v>
      </c>
      <c r="U86" s="15">
        <f t="shared" si="19"/>
        <v>0</v>
      </c>
    </row>
    <row r="87" spans="4:21" x14ac:dyDescent="0.25">
      <c r="E87" s="3">
        <f t="shared" si="20"/>
        <v>11</v>
      </c>
      <c r="F87" s="82">
        <f t="shared" ca="1" si="19"/>
        <v>368220.2735346884</v>
      </c>
      <c r="G87" s="15">
        <f t="shared" si="19"/>
        <v>0</v>
      </c>
      <c r="H87" s="15">
        <f t="shared" si="19"/>
        <v>0</v>
      </c>
      <c r="I87" s="15">
        <f t="shared" si="19"/>
        <v>0</v>
      </c>
      <c r="J87" s="15">
        <f t="shared" si="19"/>
        <v>0</v>
      </c>
      <c r="K87" s="15">
        <f t="shared" si="19"/>
        <v>0</v>
      </c>
      <c r="L87" s="15">
        <f t="shared" si="19"/>
        <v>0</v>
      </c>
      <c r="M87" s="15">
        <f t="shared" si="19"/>
        <v>0</v>
      </c>
      <c r="N87" s="15">
        <f t="shared" si="19"/>
        <v>0</v>
      </c>
      <c r="O87" s="15">
        <f t="shared" si="19"/>
        <v>0</v>
      </c>
      <c r="P87" s="15">
        <f t="shared" si="19"/>
        <v>0</v>
      </c>
      <c r="Q87" s="15">
        <f t="shared" si="19"/>
        <v>89810.540885756796</v>
      </c>
      <c r="R87" s="15">
        <f t="shared" si="19"/>
        <v>85320.013841468957</v>
      </c>
      <c r="S87" s="15">
        <f t="shared" si="19"/>
        <v>81054.013149395512</v>
      </c>
      <c r="T87" s="15">
        <f t="shared" si="19"/>
        <v>77001.312491925724</v>
      </c>
      <c r="U87" s="15">
        <f t="shared" si="19"/>
        <v>73151.24686732945</v>
      </c>
    </row>
    <row r="88" spans="4:21" x14ac:dyDescent="0.25">
      <c r="E88" s="3">
        <f t="shared" si="20"/>
        <v>12</v>
      </c>
      <c r="F88" s="82">
        <f t="shared" ca="1" si="19"/>
        <v>330137.101185665</v>
      </c>
      <c r="G88" s="15">
        <f t="shared" si="19"/>
        <v>0</v>
      </c>
      <c r="H88" s="15">
        <f t="shared" si="19"/>
        <v>0</v>
      </c>
      <c r="I88" s="15">
        <f t="shared" si="19"/>
        <v>0</v>
      </c>
      <c r="J88" s="15">
        <f t="shared" si="19"/>
        <v>0</v>
      </c>
      <c r="K88" s="15">
        <f t="shared" si="19"/>
        <v>0</v>
      </c>
      <c r="L88" s="15">
        <f t="shared" si="19"/>
        <v>0</v>
      </c>
      <c r="M88" s="15">
        <f t="shared" si="19"/>
        <v>0</v>
      </c>
      <c r="N88" s="15">
        <f t="shared" si="19"/>
        <v>0</v>
      </c>
      <c r="O88" s="15">
        <f t="shared" si="19"/>
        <v>0</v>
      </c>
      <c r="P88" s="15">
        <f t="shared" si="19"/>
        <v>0</v>
      </c>
      <c r="Q88" s="15">
        <f t="shared" si="19"/>
        <v>0</v>
      </c>
      <c r="R88" s="15">
        <f t="shared" si="19"/>
        <v>96696.015686998158</v>
      </c>
      <c r="S88" s="15">
        <f t="shared" si="19"/>
        <v>91861.214902648251</v>
      </c>
      <c r="T88" s="15">
        <f t="shared" si="19"/>
        <v>87268.154157515819</v>
      </c>
      <c r="U88" s="15">
        <f t="shared" si="19"/>
        <v>82904.746449640021</v>
      </c>
    </row>
    <row r="89" spans="4:21" x14ac:dyDescent="0.25">
      <c r="E89" s="3">
        <f t="shared" si="20"/>
        <v>13</v>
      </c>
      <c r="F89" s="82">
        <f t="shared" ca="1" si="19"/>
        <v>302641.97440255695</v>
      </c>
      <c r="G89" s="15">
        <f t="shared" si="19"/>
        <v>0</v>
      </c>
      <c r="H89" s="15">
        <f t="shared" si="19"/>
        <v>0</v>
      </c>
      <c r="I89" s="15">
        <f t="shared" si="19"/>
        <v>0</v>
      </c>
      <c r="J89" s="15">
        <f t="shared" si="19"/>
        <v>0</v>
      </c>
      <c r="K89" s="15">
        <f t="shared" si="19"/>
        <v>0</v>
      </c>
      <c r="L89" s="15">
        <f t="shared" si="19"/>
        <v>0</v>
      </c>
      <c r="M89" s="15">
        <f t="shared" si="19"/>
        <v>0</v>
      </c>
      <c r="N89" s="15">
        <f t="shared" si="19"/>
        <v>0</v>
      </c>
      <c r="O89" s="15">
        <f t="shared" si="19"/>
        <v>0</v>
      </c>
      <c r="P89" s="15">
        <f t="shared" si="19"/>
        <v>0</v>
      </c>
      <c r="Q89" s="15">
        <f t="shared" si="19"/>
        <v>0</v>
      </c>
      <c r="R89" s="15">
        <f t="shared" si="19"/>
        <v>0</v>
      </c>
      <c r="S89" s="15">
        <f t="shared" si="19"/>
        <v>113475.61840915371</v>
      </c>
      <c r="T89" s="15">
        <f t="shared" si="19"/>
        <v>107801.83748869602</v>
      </c>
      <c r="U89" s="15">
        <f t="shared" si="19"/>
        <v>102411.74561426121</v>
      </c>
    </row>
    <row r="90" spans="4:21" x14ac:dyDescent="0.25">
      <c r="E90" s="3">
        <f t="shared" si="20"/>
        <v>14</v>
      </c>
      <c r="F90" s="82">
        <f t="shared" ca="1" si="19"/>
        <v>261588.93762766902</v>
      </c>
      <c r="G90" s="15">
        <f t="shared" si="19"/>
        <v>0</v>
      </c>
      <c r="H90" s="15">
        <f t="shared" si="19"/>
        <v>0</v>
      </c>
      <c r="I90" s="15">
        <f t="shared" si="19"/>
        <v>0</v>
      </c>
      <c r="J90" s="15">
        <f t="shared" si="19"/>
        <v>0</v>
      </c>
      <c r="K90" s="15">
        <f t="shared" si="19"/>
        <v>0</v>
      </c>
      <c r="L90" s="15">
        <f t="shared" si="19"/>
        <v>0</v>
      </c>
      <c r="M90" s="15">
        <f t="shared" si="19"/>
        <v>0</v>
      </c>
      <c r="N90" s="15">
        <f t="shared" si="19"/>
        <v>0</v>
      </c>
      <c r="O90" s="15">
        <f t="shared" si="19"/>
        <v>0</v>
      </c>
      <c r="P90" s="15">
        <f t="shared" si="19"/>
        <v>0</v>
      </c>
      <c r="Q90" s="15">
        <f t="shared" si="19"/>
        <v>0</v>
      </c>
      <c r="R90" s="15">
        <f t="shared" si="19"/>
        <v>0</v>
      </c>
      <c r="S90" s="15">
        <f t="shared" si="19"/>
        <v>0</v>
      </c>
      <c r="T90" s="15">
        <f t="shared" si="19"/>
        <v>141169.07290186384</v>
      </c>
      <c r="U90" s="15">
        <f t="shared" si="19"/>
        <v>134110.61925677065</v>
      </c>
    </row>
    <row r="91" spans="4:21" x14ac:dyDescent="0.25">
      <c r="E91" s="3">
        <f t="shared" si="20"/>
        <v>15</v>
      </c>
      <c r="F91" s="82">
        <f t="shared" ca="1" si="19"/>
        <v>188473.42188039792</v>
      </c>
      <c r="G91" s="15">
        <f t="shared" si="19"/>
        <v>0</v>
      </c>
      <c r="H91" s="15">
        <f t="shared" si="19"/>
        <v>0</v>
      </c>
      <c r="I91" s="15">
        <f t="shared" si="19"/>
        <v>0</v>
      </c>
      <c r="J91" s="15">
        <f t="shared" si="19"/>
        <v>0</v>
      </c>
      <c r="K91" s="15">
        <f t="shared" si="19"/>
        <v>0</v>
      </c>
      <c r="L91" s="15">
        <f t="shared" si="19"/>
        <v>0</v>
      </c>
      <c r="M91" s="15">
        <f t="shared" si="19"/>
        <v>0</v>
      </c>
      <c r="N91" s="15">
        <f t="shared" si="19"/>
        <v>0</v>
      </c>
      <c r="O91" s="15">
        <f t="shared" si="19"/>
        <v>0</v>
      </c>
      <c r="P91" s="15">
        <f t="shared" si="19"/>
        <v>0</v>
      </c>
      <c r="Q91" s="15">
        <f t="shared" si="19"/>
        <v>0</v>
      </c>
      <c r="R91" s="15">
        <f t="shared" si="19"/>
        <v>0</v>
      </c>
      <c r="S91" s="15">
        <f t="shared" si="19"/>
        <v>0</v>
      </c>
      <c r="T91" s="15">
        <f t="shared" si="19"/>
        <v>0</v>
      </c>
      <c r="U91" s="15">
        <f t="shared" si="19"/>
        <v>195069.99164621183</v>
      </c>
    </row>
    <row r="92" spans="4:21" x14ac:dyDescent="0.25">
      <c r="E92" s="64" t="s">
        <v>4</v>
      </c>
      <c r="F92" s="65"/>
      <c r="G92" s="65">
        <f>SUM(G77:G91)</f>
        <v>25000</v>
      </c>
      <c r="H92" s="65">
        <f t="shared" ref="H92:U92" si="21">SUM(H77:H91)</f>
        <v>56875</v>
      </c>
      <c r="I92" s="65">
        <f t="shared" si="21"/>
        <v>93468.75</v>
      </c>
      <c r="J92" s="65">
        <f t="shared" si="21"/>
        <v>147054.6875</v>
      </c>
      <c r="K92" s="65">
        <f t="shared" si="21"/>
        <v>208142.65625</v>
      </c>
      <c r="L92" s="65">
        <f t="shared" si="21"/>
        <v>248281.98046875</v>
      </c>
      <c r="M92" s="65">
        <f t="shared" si="21"/>
        <v>282048.24238281243</v>
      </c>
      <c r="N92" s="65">
        <f t="shared" si="21"/>
        <v>307819.72919921868</v>
      </c>
      <c r="O92" s="65">
        <f t="shared" si="21"/>
        <v>331710.21564453113</v>
      </c>
      <c r="P92" s="65">
        <f t="shared" si="21"/>
        <v>354515.29297009268</v>
      </c>
      <c r="Q92" s="65">
        <f t="shared" si="21"/>
        <v>374210.58702398668</v>
      </c>
      <c r="R92" s="65">
        <f t="shared" si="21"/>
        <v>395316.06413213949</v>
      </c>
      <c r="S92" s="65">
        <f t="shared" si="21"/>
        <v>428235.36947263964</v>
      </c>
      <c r="T92" s="65">
        <f t="shared" si="21"/>
        <v>483824.91349093331</v>
      </c>
      <c r="U92" s="65">
        <f t="shared" si="21"/>
        <v>587648.34983421315</v>
      </c>
    </row>
    <row r="94" spans="4:21" x14ac:dyDescent="0.25">
      <c r="D94" s="2" t="s">
        <v>90</v>
      </c>
      <c r="G94" s="49" t="s">
        <v>16</v>
      </c>
      <c r="H94" s="58"/>
      <c r="I94" s="58"/>
      <c r="J94" s="58"/>
      <c r="K94" s="58"/>
      <c r="L94" s="58"/>
      <c r="M94" s="58"/>
      <c r="N94" s="58"/>
      <c r="O94" s="58"/>
      <c r="P94" s="58"/>
      <c r="Q94" s="58"/>
      <c r="R94" s="58"/>
      <c r="S94" s="58"/>
    </row>
    <row r="95" spans="4:21" x14ac:dyDescent="0.25">
      <c r="E95" s="3" t="s">
        <v>12</v>
      </c>
      <c r="G95" s="54">
        <v>1</v>
      </c>
      <c r="H95" s="54">
        <f>G95+1</f>
        <v>2</v>
      </c>
      <c r="I95" s="54">
        <f t="shared" ref="I95:U95" si="22">H95+1</f>
        <v>3</v>
      </c>
      <c r="J95" s="54">
        <f t="shared" si="22"/>
        <v>4</v>
      </c>
      <c r="K95" s="54">
        <f t="shared" si="22"/>
        <v>5</v>
      </c>
      <c r="L95" s="54">
        <f t="shared" si="22"/>
        <v>6</v>
      </c>
      <c r="M95" s="54">
        <f t="shared" si="22"/>
        <v>7</v>
      </c>
      <c r="N95" s="54">
        <f t="shared" si="22"/>
        <v>8</v>
      </c>
      <c r="O95" s="54">
        <f t="shared" si="22"/>
        <v>9</v>
      </c>
      <c r="P95" s="54">
        <f t="shared" si="22"/>
        <v>10</v>
      </c>
      <c r="Q95" s="54">
        <f t="shared" si="22"/>
        <v>11</v>
      </c>
      <c r="R95" s="54">
        <f t="shared" si="22"/>
        <v>12</v>
      </c>
      <c r="S95" s="54">
        <f t="shared" si="22"/>
        <v>13</v>
      </c>
      <c r="T95" s="54">
        <f t="shared" si="22"/>
        <v>14</v>
      </c>
      <c r="U95" s="54">
        <f t="shared" si="22"/>
        <v>15</v>
      </c>
    </row>
    <row r="96" spans="4:21" x14ac:dyDescent="0.25">
      <c r="E96" s="3">
        <v>1</v>
      </c>
      <c r="G96" s="83">
        <f>'Base Case'!G97</f>
        <v>62613.034328825532</v>
      </c>
      <c r="H96" s="83">
        <f>'Base Case'!H97</f>
        <v>43554.490530334428</v>
      </c>
      <c r="I96" s="83">
        <f>'Base Case'!I97</f>
        <v>27016.397698896126</v>
      </c>
      <c r="J96" s="89">
        <f>'Claims Shock'!J96</f>
        <v>14833.937198067633</v>
      </c>
      <c r="K96" s="15">
        <f t="shared" ref="K96:K110" si="23">IF(K77=0,0,NPV(DiscountRate,L77:O77))</f>
        <v>0</v>
      </c>
      <c r="L96" s="15">
        <f t="shared" ref="L96:L110" si="24">IF(L77=0,0,NPV(DiscountRate,M77:P77))</f>
        <v>0</v>
      </c>
      <c r="M96" s="15">
        <f t="shared" ref="M96:M110" si="25">IF(M77=0,0,NPV(DiscountRate,N77:Q77))</f>
        <v>0</v>
      </c>
      <c r="N96" s="15">
        <f t="shared" ref="N96:N110" si="26">IF(N77=0,0,NPV(DiscountRate,O77:R77))</f>
        <v>0</v>
      </c>
      <c r="O96" s="15">
        <f t="shared" ref="O96:O110" si="27">IF(O77=0,0,NPV(DiscountRate,P77:S77))</f>
        <v>0</v>
      </c>
      <c r="P96" s="15">
        <f t="shared" ref="P96:P110" si="28">IF(P77=0,0,NPV(DiscountRate,Q77:T77))</f>
        <v>0</v>
      </c>
      <c r="Q96" s="15">
        <f t="shared" ref="Q96:Q110" si="29">IF(Q77=0,0,NPV(DiscountRate,R77:U77))</f>
        <v>0</v>
      </c>
      <c r="R96" s="15">
        <f t="shared" ref="R96:R110" si="30">IF(R77=0,0,NPV(DiscountRate,S77:V77))</f>
        <v>0</v>
      </c>
      <c r="S96" s="15">
        <f t="shared" ref="S96:S110" si="31">IF(S77=0,0,NPV(DiscountRate,T77:W77))</f>
        <v>0</v>
      </c>
      <c r="T96" s="15">
        <f t="shared" ref="T96:T110" si="32">IF(T77=0,0,NPV(DiscountRate,U77:X77))</f>
        <v>0</v>
      </c>
      <c r="U96" s="15">
        <f t="shared" ref="U96:U110" si="33">IF(U77=0,0,NPV(DiscountRate,V77:Y77))</f>
        <v>0</v>
      </c>
    </row>
    <row r="97" spans="5:21" x14ac:dyDescent="0.25">
      <c r="E97" s="3">
        <f>E96+1</f>
        <v>2</v>
      </c>
      <c r="G97" s="83">
        <f>'Base Case'!G98</f>
        <v>0</v>
      </c>
      <c r="H97" s="83">
        <f>'Base Case'!H98</f>
        <v>89223.573918576381</v>
      </c>
      <c r="I97" s="83">
        <f>'Base Case'!I98</f>
        <v>62065.149005726555</v>
      </c>
      <c r="J97" s="89">
        <f>'Claims Shock'!J97</f>
        <v>45292.196142267036</v>
      </c>
      <c r="K97" s="15">
        <f t="shared" si="23"/>
        <v>27794.384057971016</v>
      </c>
      <c r="L97" s="15">
        <f t="shared" si="24"/>
        <v>0</v>
      </c>
      <c r="M97" s="15">
        <f t="shared" si="25"/>
        <v>0</v>
      </c>
      <c r="N97" s="15">
        <f t="shared" si="26"/>
        <v>0</v>
      </c>
      <c r="O97" s="15">
        <f t="shared" si="27"/>
        <v>0</v>
      </c>
      <c r="P97" s="15">
        <f t="shared" si="28"/>
        <v>0</v>
      </c>
      <c r="Q97" s="15">
        <f t="shared" si="29"/>
        <v>0</v>
      </c>
      <c r="R97" s="15">
        <f t="shared" si="30"/>
        <v>0</v>
      </c>
      <c r="S97" s="15">
        <f t="shared" si="31"/>
        <v>0</v>
      </c>
      <c r="T97" s="15">
        <f t="shared" si="32"/>
        <v>0</v>
      </c>
      <c r="U97" s="15">
        <f t="shared" si="33"/>
        <v>0</v>
      </c>
    </row>
    <row r="98" spans="5:21" x14ac:dyDescent="0.25">
      <c r="E98" s="3">
        <f t="shared" ref="E98:E110" si="34">E97+1</f>
        <v>3</v>
      </c>
      <c r="G98" s="83">
        <f>'Base Case'!G99</f>
        <v>0</v>
      </c>
      <c r="H98" s="83">
        <f>'Base Case'!H99</f>
        <v>0</v>
      </c>
      <c r="I98" s="83">
        <f>'Base Case'!I99</f>
        <v>113016.52696353009</v>
      </c>
      <c r="J98" s="89">
        <f>'Claims Shock'!J98</f>
        <v>92489.241655592516</v>
      </c>
      <c r="K98" s="15">
        <f t="shared" si="23"/>
        <v>79436.597120119492</v>
      </c>
      <c r="L98" s="15">
        <f t="shared" si="24"/>
        <v>39348.128019323674</v>
      </c>
      <c r="M98" s="15">
        <f t="shared" si="25"/>
        <v>0</v>
      </c>
      <c r="N98" s="15">
        <f t="shared" si="26"/>
        <v>0</v>
      </c>
      <c r="O98" s="15">
        <f t="shared" si="27"/>
        <v>0</v>
      </c>
      <c r="P98" s="15">
        <f t="shared" si="28"/>
        <v>0</v>
      </c>
      <c r="Q98" s="15">
        <f t="shared" si="29"/>
        <v>0</v>
      </c>
      <c r="R98" s="15">
        <f t="shared" si="30"/>
        <v>0</v>
      </c>
      <c r="S98" s="15">
        <f t="shared" si="31"/>
        <v>0</v>
      </c>
      <c r="T98" s="15">
        <f t="shared" si="32"/>
        <v>0</v>
      </c>
      <c r="U98" s="15">
        <f t="shared" si="33"/>
        <v>0</v>
      </c>
    </row>
    <row r="99" spans="5:21" x14ac:dyDescent="0.25">
      <c r="E99" s="3">
        <f t="shared" si="34"/>
        <v>4</v>
      </c>
      <c r="G99" s="83">
        <f>'Base Case'!G100</f>
        <v>0</v>
      </c>
      <c r="H99" s="83">
        <f>'Base Case'!H100</f>
        <v>0</v>
      </c>
      <c r="I99" s="83">
        <f>'Base Case'!I100</f>
        <v>0</v>
      </c>
      <c r="J99" s="89">
        <f>'Claims Shock'!J99</f>
        <v>134207.125769192</v>
      </c>
      <c r="K99" s="15">
        <f t="shared" si="23"/>
        <v>135769.13212670031</v>
      </c>
      <c r="L99" s="15">
        <f t="shared" si="24"/>
        <v>89614.411126134801</v>
      </c>
      <c r="M99" s="15">
        <f t="shared" si="25"/>
        <v>44389.606921799517</v>
      </c>
      <c r="N99" s="15">
        <f t="shared" si="26"/>
        <v>0</v>
      </c>
      <c r="O99" s="15">
        <f t="shared" si="27"/>
        <v>0</v>
      </c>
      <c r="P99" s="15">
        <f t="shared" si="28"/>
        <v>0</v>
      </c>
      <c r="Q99" s="15">
        <f t="shared" si="29"/>
        <v>0</v>
      </c>
      <c r="R99" s="15">
        <f t="shared" si="30"/>
        <v>0</v>
      </c>
      <c r="S99" s="15">
        <f t="shared" si="31"/>
        <v>0</v>
      </c>
      <c r="T99" s="15">
        <f t="shared" si="32"/>
        <v>0</v>
      </c>
      <c r="U99" s="15">
        <f t="shared" si="33"/>
        <v>0</v>
      </c>
    </row>
    <row r="100" spans="5:21" x14ac:dyDescent="0.25">
      <c r="E100" s="3">
        <f t="shared" si="34"/>
        <v>5</v>
      </c>
      <c r="G100" s="83">
        <f>'Base Case'!G101</f>
        <v>0</v>
      </c>
      <c r="H100" s="83">
        <f>'Base Case'!H101</f>
        <v>0</v>
      </c>
      <c r="I100" s="83">
        <f>'Base Case'!I101</f>
        <v>0</v>
      </c>
      <c r="J100" s="89">
        <f>'Claims Shock'!J100</f>
        <v>0</v>
      </c>
      <c r="K100" s="15">
        <f t="shared" si="23"/>
        <v>198136.75401518494</v>
      </c>
      <c r="L100" s="15">
        <f t="shared" si="24"/>
        <v>147037.9700932164</v>
      </c>
      <c r="M100" s="15">
        <f t="shared" si="25"/>
        <v>97052.407249603973</v>
      </c>
      <c r="N100" s="15">
        <f t="shared" si="26"/>
        <v>48073.944296308873</v>
      </c>
      <c r="O100" s="15">
        <f t="shared" si="27"/>
        <v>0</v>
      </c>
      <c r="P100" s="15">
        <f t="shared" si="28"/>
        <v>0</v>
      </c>
      <c r="Q100" s="15">
        <f t="shared" si="29"/>
        <v>0</v>
      </c>
      <c r="R100" s="15">
        <f t="shared" si="30"/>
        <v>0</v>
      </c>
      <c r="S100" s="15">
        <f t="shared" si="31"/>
        <v>0</v>
      </c>
      <c r="T100" s="15">
        <f t="shared" si="32"/>
        <v>0</v>
      </c>
      <c r="U100" s="15">
        <f t="shared" si="33"/>
        <v>0</v>
      </c>
    </row>
    <row r="101" spans="5:21" x14ac:dyDescent="0.25">
      <c r="E101" s="3">
        <f t="shared" si="34"/>
        <v>6</v>
      </c>
      <c r="G101" s="83">
        <f>'Base Case'!G102</f>
        <v>0</v>
      </c>
      <c r="H101" s="83">
        <f>'Base Case'!H102</f>
        <v>0</v>
      </c>
      <c r="I101" s="83">
        <f>'Base Case'!I102</f>
        <v>0</v>
      </c>
      <c r="J101" s="89">
        <f>'Claims Shock'!J101</f>
        <v>0</v>
      </c>
      <c r="K101" s="15">
        <f t="shared" si="23"/>
        <v>0</v>
      </c>
      <c r="L101" s="15">
        <f t="shared" si="24"/>
        <v>219601.56903349663</v>
      </c>
      <c r="M101" s="15">
        <f t="shared" si="25"/>
        <v>162967.0835199815</v>
      </c>
      <c r="N101" s="15">
        <f t="shared" si="26"/>
        <v>107566.41803497773</v>
      </c>
      <c r="O101" s="15">
        <f t="shared" si="27"/>
        <v>53281.954928408988</v>
      </c>
      <c r="P101" s="15">
        <f t="shared" si="28"/>
        <v>0</v>
      </c>
      <c r="Q101" s="15">
        <f t="shared" si="29"/>
        <v>0</v>
      </c>
      <c r="R101" s="15">
        <f t="shared" si="30"/>
        <v>0</v>
      </c>
      <c r="S101" s="15">
        <f t="shared" si="31"/>
        <v>0</v>
      </c>
      <c r="T101" s="15">
        <f t="shared" si="32"/>
        <v>0</v>
      </c>
      <c r="U101" s="15">
        <f t="shared" si="33"/>
        <v>0</v>
      </c>
    </row>
    <row r="102" spans="5:21" x14ac:dyDescent="0.25">
      <c r="E102" s="3">
        <f t="shared" si="34"/>
        <v>7</v>
      </c>
      <c r="G102" s="83">
        <f>'Base Case'!G103</f>
        <v>0</v>
      </c>
      <c r="H102" s="83">
        <f>'Base Case'!H103</f>
        <v>0</v>
      </c>
      <c r="I102" s="83">
        <f>'Base Case'!I103</f>
        <v>0</v>
      </c>
      <c r="J102" s="89">
        <f>'Claims Shock'!J102</f>
        <v>0</v>
      </c>
      <c r="K102" s="15">
        <f t="shared" si="23"/>
        <v>0</v>
      </c>
      <c r="L102" s="15">
        <f t="shared" si="24"/>
        <v>0</v>
      </c>
      <c r="M102" s="15">
        <f t="shared" si="25"/>
        <v>238424.56066493917</v>
      </c>
      <c r="N102" s="15">
        <f t="shared" si="26"/>
        <v>176935.69067883704</v>
      </c>
      <c r="O102" s="15">
        <f t="shared" si="27"/>
        <v>116786.39672369009</v>
      </c>
      <c r="P102" s="15">
        <f t="shared" si="28"/>
        <v>57848.979636558324</v>
      </c>
      <c r="Q102" s="15">
        <f t="shared" si="29"/>
        <v>0</v>
      </c>
      <c r="R102" s="15">
        <f t="shared" si="30"/>
        <v>0</v>
      </c>
      <c r="S102" s="15">
        <f t="shared" si="31"/>
        <v>0</v>
      </c>
      <c r="T102" s="15">
        <f t="shared" si="32"/>
        <v>0</v>
      </c>
      <c r="U102" s="15">
        <f t="shared" si="33"/>
        <v>0</v>
      </c>
    </row>
    <row r="103" spans="5:21" x14ac:dyDescent="0.25">
      <c r="E103" s="3">
        <f t="shared" si="34"/>
        <v>8</v>
      </c>
      <c r="G103" s="83">
        <f>'Base Case'!G104</f>
        <v>0</v>
      </c>
      <c r="H103" s="83">
        <f>'Base Case'!H104</f>
        <v>0</v>
      </c>
      <c r="I103" s="83">
        <f>'Base Case'!I104</f>
        <v>0</v>
      </c>
      <c r="J103" s="89">
        <f>'Claims Shock'!J103</f>
        <v>0</v>
      </c>
      <c r="K103" s="15">
        <f t="shared" si="23"/>
        <v>0</v>
      </c>
      <c r="L103" s="15">
        <f t="shared" si="24"/>
        <v>0</v>
      </c>
      <c r="M103" s="15">
        <f t="shared" si="25"/>
        <v>0</v>
      </c>
      <c r="N103" s="15">
        <f t="shared" si="26"/>
        <v>254816.24921065374</v>
      </c>
      <c r="O103" s="15">
        <f t="shared" si="27"/>
        <v>189100.01941300707</v>
      </c>
      <c r="P103" s="15">
        <f t="shared" si="28"/>
        <v>124815.46149844378</v>
      </c>
      <c r="Q103" s="15">
        <f t="shared" si="29"/>
        <v>61826.096986571705</v>
      </c>
      <c r="R103" s="15">
        <f t="shared" si="30"/>
        <v>0</v>
      </c>
      <c r="S103" s="15">
        <f t="shared" si="31"/>
        <v>0</v>
      </c>
      <c r="T103" s="15">
        <f t="shared" si="32"/>
        <v>0</v>
      </c>
      <c r="U103" s="15">
        <f t="shared" si="33"/>
        <v>0</v>
      </c>
    </row>
    <row r="104" spans="5:21" x14ac:dyDescent="0.25">
      <c r="E104" s="3">
        <f t="shared" si="34"/>
        <v>9</v>
      </c>
      <c r="G104" s="83">
        <f>'Base Case'!G105</f>
        <v>0</v>
      </c>
      <c r="H104" s="83">
        <f>'Base Case'!H105</f>
        <v>0</v>
      </c>
      <c r="I104" s="83">
        <f>'Base Case'!I105</f>
        <v>0</v>
      </c>
      <c r="J104" s="89">
        <f>'Claims Shock'!J104</f>
        <v>0</v>
      </c>
      <c r="K104" s="15">
        <f t="shared" si="23"/>
        <v>0</v>
      </c>
      <c r="L104" s="15">
        <f t="shared" si="24"/>
        <v>0</v>
      </c>
      <c r="M104" s="15">
        <f t="shared" si="25"/>
        <v>0</v>
      </c>
      <c r="N104" s="15">
        <f t="shared" si="26"/>
        <v>0</v>
      </c>
      <c r="O104" s="15">
        <f t="shared" si="27"/>
        <v>268972.70750013448</v>
      </c>
      <c r="P104" s="15">
        <f t="shared" si="28"/>
        <v>199605.57604706302</v>
      </c>
      <c r="Q104" s="15">
        <f t="shared" si="29"/>
        <v>131749.65380391289</v>
      </c>
      <c r="R104" s="15">
        <f t="shared" si="30"/>
        <v>65260.880152492355</v>
      </c>
      <c r="S104" s="15">
        <f t="shared" si="31"/>
        <v>0</v>
      </c>
      <c r="T104" s="15">
        <f t="shared" si="32"/>
        <v>0</v>
      </c>
      <c r="U104" s="15">
        <f t="shared" si="33"/>
        <v>0</v>
      </c>
    </row>
    <row r="105" spans="5:21" x14ac:dyDescent="0.25">
      <c r="E105" s="3">
        <f t="shared" si="34"/>
        <v>10</v>
      </c>
      <c r="G105" s="83">
        <f>'Base Case'!G106</f>
        <v>0</v>
      </c>
      <c r="H105" s="83">
        <f>'Base Case'!H106</f>
        <v>0</v>
      </c>
      <c r="I105" s="83">
        <f>'Base Case'!I106</f>
        <v>0</v>
      </c>
      <c r="J105" s="89">
        <f>'Claims Shock'!J105</f>
        <v>0</v>
      </c>
      <c r="K105" s="15">
        <f t="shared" si="23"/>
        <v>0</v>
      </c>
      <c r="L105" s="15">
        <f t="shared" si="24"/>
        <v>0</v>
      </c>
      <c r="M105" s="15">
        <f t="shared" si="25"/>
        <v>0</v>
      </c>
      <c r="N105" s="15">
        <f t="shared" si="26"/>
        <v>0</v>
      </c>
      <c r="O105" s="15">
        <f t="shared" si="27"/>
        <v>0</v>
      </c>
      <c r="P105" s="15">
        <f t="shared" si="28"/>
        <v>281076.47933764063</v>
      </c>
      <c r="Q105" s="15">
        <f t="shared" si="29"/>
        <v>208587.82696918095</v>
      </c>
      <c r="R105" s="15">
        <f t="shared" si="30"/>
        <v>137678.38822508903</v>
      </c>
      <c r="S105" s="15">
        <f t="shared" si="31"/>
        <v>68197.619759354537</v>
      </c>
      <c r="T105" s="15">
        <f t="shared" si="32"/>
        <v>0</v>
      </c>
      <c r="U105" s="15">
        <f t="shared" si="33"/>
        <v>0</v>
      </c>
    </row>
    <row r="106" spans="5:21" x14ac:dyDescent="0.25">
      <c r="E106" s="3">
        <f t="shared" si="34"/>
        <v>11</v>
      </c>
      <c r="G106" s="83">
        <f>'Base Case'!G107</f>
        <v>0</v>
      </c>
      <c r="H106" s="83">
        <f>'Base Case'!H107</f>
        <v>0</v>
      </c>
      <c r="I106" s="83">
        <f>'Base Case'!I107</f>
        <v>0</v>
      </c>
      <c r="J106" s="89">
        <f>'Claims Shock'!J106</f>
        <v>0</v>
      </c>
      <c r="K106" s="15">
        <f t="shared" si="23"/>
        <v>0</v>
      </c>
      <c r="L106" s="15">
        <f t="shared" si="24"/>
        <v>0</v>
      </c>
      <c r="M106" s="15">
        <f t="shared" si="25"/>
        <v>0</v>
      </c>
      <c r="N106" s="15">
        <f t="shared" si="26"/>
        <v>0</v>
      </c>
      <c r="O106" s="15">
        <f t="shared" si="27"/>
        <v>0</v>
      </c>
      <c r="P106" s="15">
        <f t="shared" si="28"/>
        <v>0</v>
      </c>
      <c r="Q106" s="15">
        <f t="shared" si="29"/>
        <v>291297.44222264568</v>
      </c>
      <c r="R106" s="15">
        <f t="shared" si="30"/>
        <v>216172.83885896922</v>
      </c>
      <c r="S106" s="15">
        <f t="shared" si="31"/>
        <v>142684.87506963764</v>
      </c>
      <c r="T106" s="15">
        <f t="shared" si="32"/>
        <v>70677.53320514923</v>
      </c>
      <c r="U106" s="15">
        <f t="shared" si="33"/>
        <v>0</v>
      </c>
    </row>
    <row r="107" spans="5:21" x14ac:dyDescent="0.25">
      <c r="E107" s="3">
        <f t="shared" si="34"/>
        <v>12</v>
      </c>
      <c r="G107" s="83">
        <f>'Base Case'!G108</f>
        <v>0</v>
      </c>
      <c r="H107" s="83">
        <f>'Base Case'!H108</f>
        <v>0</v>
      </c>
      <c r="I107" s="83">
        <f>'Base Case'!I108</f>
        <v>0</v>
      </c>
      <c r="J107" s="89">
        <f>'Claims Shock'!J107</f>
        <v>0</v>
      </c>
      <c r="K107" s="15">
        <f t="shared" si="23"/>
        <v>0</v>
      </c>
      <c r="L107" s="15">
        <f t="shared" si="24"/>
        <v>0</v>
      </c>
      <c r="M107" s="15">
        <f t="shared" si="25"/>
        <v>0</v>
      </c>
      <c r="N107" s="15">
        <f t="shared" si="26"/>
        <v>0</v>
      </c>
      <c r="O107" s="15">
        <f t="shared" si="27"/>
        <v>0</v>
      </c>
      <c r="P107" s="15">
        <f t="shared" si="28"/>
        <v>0</v>
      </c>
      <c r="Q107" s="15">
        <f t="shared" si="29"/>
        <v>0</v>
      </c>
      <c r="R107" s="15">
        <f t="shared" si="30"/>
        <v>244995.88404016517</v>
      </c>
      <c r="S107" s="15">
        <f t="shared" si="31"/>
        <v>161709.52507892263</v>
      </c>
      <c r="T107" s="15">
        <f t="shared" si="32"/>
        <v>80101.204299169112</v>
      </c>
      <c r="U107" s="15">
        <f t="shared" si="33"/>
        <v>0</v>
      </c>
    </row>
    <row r="108" spans="5:21" x14ac:dyDescent="0.25">
      <c r="E108" s="3">
        <f t="shared" si="34"/>
        <v>13</v>
      </c>
      <c r="G108" s="83">
        <f>'Base Case'!G109</f>
        <v>0</v>
      </c>
      <c r="H108" s="83">
        <f>'Base Case'!H109</f>
        <v>0</v>
      </c>
      <c r="I108" s="83">
        <f>'Base Case'!I109</f>
        <v>0</v>
      </c>
      <c r="J108" s="89">
        <f>'Claims Shock'!J108</f>
        <v>0</v>
      </c>
      <c r="K108" s="15">
        <f t="shared" si="23"/>
        <v>0</v>
      </c>
      <c r="L108" s="15">
        <f t="shared" si="24"/>
        <v>0</v>
      </c>
      <c r="M108" s="15">
        <f t="shared" si="25"/>
        <v>0</v>
      </c>
      <c r="N108" s="15">
        <f t="shared" si="26"/>
        <v>0</v>
      </c>
      <c r="O108" s="15">
        <f t="shared" si="27"/>
        <v>0</v>
      </c>
      <c r="P108" s="15">
        <f t="shared" si="28"/>
        <v>0</v>
      </c>
      <c r="Q108" s="15">
        <f t="shared" si="29"/>
        <v>0</v>
      </c>
      <c r="R108" s="15">
        <f t="shared" si="30"/>
        <v>0</v>
      </c>
      <c r="S108" s="15">
        <f t="shared" si="31"/>
        <v>199758.82509749269</v>
      </c>
      <c r="T108" s="15">
        <f t="shared" si="32"/>
        <v>98948.546487208907</v>
      </c>
      <c r="U108" s="15">
        <f t="shared" si="33"/>
        <v>0</v>
      </c>
    </row>
    <row r="109" spans="5:21" x14ac:dyDescent="0.25">
      <c r="E109" s="3">
        <f t="shared" si="34"/>
        <v>14</v>
      </c>
      <c r="G109" s="83">
        <f>'Base Case'!G110</f>
        <v>0</v>
      </c>
      <c r="H109" s="83">
        <f>'Base Case'!H110</f>
        <v>0</v>
      </c>
      <c r="I109" s="83">
        <f>'Base Case'!I110</f>
        <v>0</v>
      </c>
      <c r="J109" s="89">
        <f>'Claims Shock'!J109</f>
        <v>0</v>
      </c>
      <c r="K109" s="15">
        <f t="shared" si="23"/>
        <v>0</v>
      </c>
      <c r="L109" s="15">
        <f t="shared" si="24"/>
        <v>0</v>
      </c>
      <c r="M109" s="15">
        <f t="shared" si="25"/>
        <v>0</v>
      </c>
      <c r="N109" s="15">
        <f t="shared" si="26"/>
        <v>0</v>
      </c>
      <c r="O109" s="15">
        <f t="shared" si="27"/>
        <v>0</v>
      </c>
      <c r="P109" s="15">
        <f t="shared" si="28"/>
        <v>0</v>
      </c>
      <c r="Q109" s="15">
        <f t="shared" si="29"/>
        <v>0</v>
      </c>
      <c r="R109" s="15">
        <f t="shared" si="30"/>
        <v>0</v>
      </c>
      <c r="S109" s="15">
        <f t="shared" si="31"/>
        <v>0</v>
      </c>
      <c r="T109" s="15">
        <f t="shared" si="32"/>
        <v>129575.47754277359</v>
      </c>
      <c r="U109" s="15">
        <f t="shared" si="33"/>
        <v>0</v>
      </c>
    </row>
    <row r="110" spans="5:21" x14ac:dyDescent="0.25">
      <c r="E110" s="3">
        <f t="shared" si="34"/>
        <v>15</v>
      </c>
      <c r="G110" s="83">
        <f>'Base Case'!G111</f>
        <v>0</v>
      </c>
      <c r="H110" s="83">
        <f>'Base Case'!H111</f>
        <v>0</v>
      </c>
      <c r="I110" s="83">
        <f>'Base Case'!I111</f>
        <v>0</v>
      </c>
      <c r="J110" s="89">
        <f>'Claims Shock'!J110</f>
        <v>0</v>
      </c>
      <c r="K110" s="15">
        <f t="shared" si="23"/>
        <v>0</v>
      </c>
      <c r="L110" s="15">
        <f t="shared" si="24"/>
        <v>0</v>
      </c>
      <c r="M110" s="15">
        <f t="shared" si="25"/>
        <v>0</v>
      </c>
      <c r="N110" s="15">
        <f t="shared" si="26"/>
        <v>0</v>
      </c>
      <c r="O110" s="15">
        <f t="shared" si="27"/>
        <v>0</v>
      </c>
      <c r="P110" s="15">
        <f t="shared" si="28"/>
        <v>0</v>
      </c>
      <c r="Q110" s="15">
        <f t="shared" si="29"/>
        <v>0</v>
      </c>
      <c r="R110" s="15">
        <f t="shared" si="30"/>
        <v>0</v>
      </c>
      <c r="S110" s="15">
        <f t="shared" si="31"/>
        <v>0</v>
      </c>
      <c r="T110" s="15">
        <f t="shared" si="32"/>
        <v>0</v>
      </c>
      <c r="U110" s="15">
        <f t="shared" si="33"/>
        <v>0</v>
      </c>
    </row>
    <row r="111" spans="5:21" x14ac:dyDescent="0.25">
      <c r="E111" s="64" t="s">
        <v>4</v>
      </c>
      <c r="G111" s="65">
        <f>SUM(G96:G110)</f>
        <v>62613.034328825532</v>
      </c>
      <c r="H111" s="65">
        <f t="shared" ref="H111:U111" si="35">SUM(H96:H110)</f>
        <v>132778.06444891082</v>
      </c>
      <c r="I111" s="65">
        <f t="shared" si="35"/>
        <v>202098.07366815279</v>
      </c>
      <c r="J111" s="65">
        <f t="shared" si="35"/>
        <v>286822.50076511921</v>
      </c>
      <c r="K111" s="65">
        <f t="shared" si="35"/>
        <v>441136.86731997575</v>
      </c>
      <c r="L111" s="65">
        <f t="shared" si="35"/>
        <v>495602.07827217155</v>
      </c>
      <c r="M111" s="65">
        <f t="shared" si="35"/>
        <v>542833.65835632407</v>
      </c>
      <c r="N111" s="65">
        <f t="shared" si="35"/>
        <v>587392.30222077738</v>
      </c>
      <c r="O111" s="65">
        <f t="shared" si="35"/>
        <v>628141.0785652406</v>
      </c>
      <c r="P111" s="65">
        <f t="shared" si="35"/>
        <v>663346.49651970575</v>
      </c>
      <c r="Q111" s="65">
        <f t="shared" si="35"/>
        <v>693461.01998231118</v>
      </c>
      <c r="R111" s="65">
        <f t="shared" si="35"/>
        <v>664107.99127671577</v>
      </c>
      <c r="S111" s="65">
        <f t="shared" si="35"/>
        <v>572350.84500540746</v>
      </c>
      <c r="T111" s="65">
        <f t="shared" si="35"/>
        <v>379302.76153430087</v>
      </c>
      <c r="U111" s="65">
        <f t="shared" si="35"/>
        <v>0</v>
      </c>
    </row>
    <row r="114" spans="7:8" x14ac:dyDescent="0.25">
      <c r="G114" s="66"/>
      <c r="H114" s="66"/>
    </row>
    <row r="115" spans="7:8" x14ac:dyDescent="0.25">
      <c r="G115" s="66"/>
      <c r="H115" s="66"/>
    </row>
  </sheetData>
  <mergeCells count="2">
    <mergeCell ref="J38:N38"/>
    <mergeCell ref="P38:R38"/>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E0899-50C6-411E-A5C9-3472041422F5}">
  <sheetPr>
    <tabColor theme="2"/>
  </sheetPr>
  <dimension ref="A1:AC115"/>
  <sheetViews>
    <sheetView showGridLines="0" zoomScaleNormal="100" workbookViewId="0"/>
  </sheetViews>
  <sheetFormatPr defaultColWidth="8.85546875" defaultRowHeight="15" x14ac:dyDescent="0.25"/>
  <cols>
    <col min="1" max="4" width="1.85546875" style="3" customWidth="1"/>
    <col min="5" max="5" width="18.85546875" style="3" bestFit="1" customWidth="1"/>
    <col min="6" max="6" width="21.5703125" style="3" bestFit="1" customWidth="1"/>
    <col min="7" max="18" width="15.5703125" style="3" bestFit="1" customWidth="1"/>
    <col min="19" max="21" width="16.140625" style="3" bestFit="1" customWidth="1"/>
    <col min="22" max="22" width="14" style="3" bestFit="1" customWidth="1"/>
    <col min="23" max="24" width="16.140625" style="3" bestFit="1" customWidth="1"/>
    <col min="25" max="25" width="20.42578125" style="3" customWidth="1"/>
    <col min="26" max="26" width="11.5703125" style="3" bestFit="1" customWidth="1"/>
    <col min="27" max="28" width="10.42578125" style="3" bestFit="1" customWidth="1"/>
    <col min="29" max="29" width="7.140625" style="3" bestFit="1" customWidth="1"/>
    <col min="30" max="30" width="1.85546875" style="3" customWidth="1"/>
    <col min="31" max="31" width="11.85546875" style="3" bestFit="1" customWidth="1"/>
    <col min="32" max="32" width="13.5703125" style="3" bestFit="1" customWidth="1"/>
    <col min="33" max="34" width="11.85546875" style="3" bestFit="1" customWidth="1"/>
    <col min="35" max="16384" width="8.85546875" style="3"/>
  </cols>
  <sheetData>
    <row r="1" spans="1:12" x14ac:dyDescent="0.25">
      <c r="A1" s="4" t="s">
        <v>95</v>
      </c>
    </row>
    <row r="2" spans="1:12" x14ac:dyDescent="0.25">
      <c r="A2" s="1" t="s">
        <v>96</v>
      </c>
    </row>
    <row r="3" spans="1:12" x14ac:dyDescent="0.25">
      <c r="A3" s="5" t="s">
        <v>97</v>
      </c>
    </row>
    <row r="4" spans="1:12" x14ac:dyDescent="0.25">
      <c r="A4" s="6" t="s">
        <v>108</v>
      </c>
    </row>
    <row r="6" spans="1:12" x14ac:dyDescent="0.25">
      <c r="B6" s="2" t="s">
        <v>0</v>
      </c>
    </row>
    <row r="7" spans="1:12" x14ac:dyDescent="0.25">
      <c r="B7" s="2" t="s">
        <v>1</v>
      </c>
    </row>
    <row r="8" spans="1:12" x14ac:dyDescent="0.25">
      <c r="B8" s="2"/>
    </row>
    <row r="9" spans="1:12" x14ac:dyDescent="0.25">
      <c r="B9" s="2" t="s">
        <v>7</v>
      </c>
      <c r="K9" s="7"/>
    </row>
    <row r="11" spans="1:12" x14ac:dyDescent="0.25">
      <c r="B11" s="2" t="s">
        <v>61</v>
      </c>
    </row>
    <row r="13" spans="1:12" x14ac:dyDescent="0.25">
      <c r="C13" s="2" t="s">
        <v>2</v>
      </c>
    </row>
    <row r="14" spans="1:12" x14ac:dyDescent="0.25">
      <c r="D14" s="3" t="s">
        <v>67</v>
      </c>
      <c r="L14" s="45"/>
    </row>
    <row r="15" spans="1:12" x14ac:dyDescent="0.25">
      <c r="D15" s="3" t="s">
        <v>72</v>
      </c>
      <c r="J15" s="2" t="s">
        <v>44</v>
      </c>
    </row>
    <row r="16" spans="1:12" x14ac:dyDescent="0.25">
      <c r="D16" s="3" t="s">
        <v>10</v>
      </c>
      <c r="J16" s="67" t="s">
        <v>45</v>
      </c>
      <c r="K16" s="67"/>
      <c r="L16" s="67"/>
    </row>
    <row r="17" spans="3:15" x14ac:dyDescent="0.25">
      <c r="D17" s="3" t="s">
        <v>14</v>
      </c>
      <c r="J17" s="68" t="s">
        <v>46</v>
      </c>
      <c r="K17" s="69"/>
      <c r="L17" s="68"/>
    </row>
    <row r="18" spans="3:15" x14ac:dyDescent="0.25">
      <c r="D18" s="3" t="s">
        <v>19</v>
      </c>
      <c r="J18" s="70" t="s">
        <v>47</v>
      </c>
      <c r="K18" s="70"/>
      <c r="L18" s="70"/>
    </row>
    <row r="19" spans="3:15" x14ac:dyDescent="0.25">
      <c r="D19" s="3" t="s">
        <v>20</v>
      </c>
      <c r="J19" s="71" t="s">
        <v>48</v>
      </c>
      <c r="K19" s="71"/>
      <c r="L19" s="71"/>
    </row>
    <row r="20" spans="3:15" x14ac:dyDescent="0.25">
      <c r="D20" s="3" t="s">
        <v>36</v>
      </c>
      <c r="J20" s="72" t="s">
        <v>49</v>
      </c>
      <c r="K20" s="72"/>
      <c r="L20" s="72"/>
    </row>
    <row r="21" spans="3:15" x14ac:dyDescent="0.25">
      <c r="D21" s="3" t="s">
        <v>35</v>
      </c>
      <c r="J21" s="73" t="s">
        <v>50</v>
      </c>
      <c r="K21" s="73"/>
      <c r="L21" s="73"/>
    </row>
    <row r="23" spans="3:15" x14ac:dyDescent="0.25">
      <c r="C23" s="2" t="s">
        <v>8</v>
      </c>
    </row>
    <row r="24" spans="3:15" x14ac:dyDescent="0.25">
      <c r="E24" s="9">
        <v>0.65</v>
      </c>
      <c r="F24" s="9" t="s">
        <v>11</v>
      </c>
      <c r="G24" s="90">
        <f>G25/2</f>
        <v>0.1</v>
      </c>
      <c r="H24" s="9" t="s">
        <v>42</v>
      </c>
      <c r="I24" s="9"/>
      <c r="J24" s="9"/>
    </row>
    <row r="25" spans="3:15" x14ac:dyDescent="0.25">
      <c r="E25" s="13">
        <v>3.5000000000000003E-2</v>
      </c>
      <c r="F25" s="9" t="s">
        <v>6</v>
      </c>
      <c r="G25" s="90">
        <v>0.2</v>
      </c>
      <c r="H25" s="9" t="s">
        <v>43</v>
      </c>
      <c r="I25" s="9"/>
      <c r="J25" s="9"/>
    </row>
    <row r="26" spans="3:15" x14ac:dyDescent="0.25">
      <c r="E26" s="9">
        <v>0.05</v>
      </c>
      <c r="F26" s="9" t="s">
        <v>9</v>
      </c>
      <c r="G26" s="9"/>
      <c r="H26" s="9"/>
      <c r="I26" s="9"/>
      <c r="J26" s="9"/>
    </row>
    <row r="27" spans="3:15" ht="12.6" customHeight="1" x14ac:dyDescent="0.25">
      <c r="E27" s="9">
        <v>0.05</v>
      </c>
      <c r="F27" s="9" t="s">
        <v>13</v>
      </c>
      <c r="O27" s="11"/>
    </row>
    <row r="28" spans="3:15" x14ac:dyDescent="0.25">
      <c r="E28" s="9"/>
      <c r="F28" s="9"/>
    </row>
    <row r="29" spans="3:15" ht="12.75" customHeight="1" x14ac:dyDescent="0.25">
      <c r="C29" s="2" t="s">
        <v>17</v>
      </c>
      <c r="E29" s="9"/>
      <c r="F29" s="9"/>
    </row>
    <row r="30" spans="3:15" ht="12.75" customHeight="1" x14ac:dyDescent="0.25">
      <c r="E30" s="12">
        <f>'Base Case'!E30</f>
        <v>451.96307684931026</v>
      </c>
      <c r="F30" s="9" t="s">
        <v>18</v>
      </c>
      <c r="L30" s="11"/>
    </row>
    <row r="31" spans="3:15" x14ac:dyDescent="0.25">
      <c r="E31" s="91">
        <f ca="1">SUM(F35:H35)/E35</f>
        <v>0.70991371018834382</v>
      </c>
      <c r="F31" s="9" t="s">
        <v>31</v>
      </c>
    </row>
    <row r="32" spans="3:15" x14ac:dyDescent="0.25">
      <c r="E32" s="9"/>
      <c r="F32" s="9"/>
    </row>
    <row r="33" spans="3:22" x14ac:dyDescent="0.25">
      <c r="C33" s="2" t="s">
        <v>37</v>
      </c>
      <c r="D33" s="2"/>
      <c r="E33" s="2"/>
      <c r="F33" s="2"/>
      <c r="G33" s="2"/>
    </row>
    <row r="34" spans="3:22" ht="30" x14ac:dyDescent="0.25">
      <c r="E34" s="14" t="s">
        <v>38</v>
      </c>
      <c r="F34" s="14" t="str">
        <f>"PV Claims Paid (incurred t&lt;="&amp;$U$38&amp;")"</f>
        <v>PV Claims Paid (incurred t&lt;=6)</v>
      </c>
      <c r="G34" s="14" t="str">
        <f>"PV Claim Reserve (t="&amp;$U$38&amp;")"</f>
        <v>PV Claim Reserve (t=6)</v>
      </c>
      <c r="H34" s="14" t="str">
        <f>"PVF Claims Paid (incurred t&gt;"&amp;$U$38&amp;")"</f>
        <v>PVF Claims Paid (incurred t&gt;6)</v>
      </c>
      <c r="I34" s="14" t="s">
        <v>4</v>
      </c>
    </row>
    <row r="35" spans="3:22" x14ac:dyDescent="0.25">
      <c r="E35" s="92">
        <f>NPV(DiscountRate,J41:J$55)*(1+DiscountRate)</f>
        <v>4308256.0707345121</v>
      </c>
      <c r="F35" s="16">
        <f ca="1">NPV(DiscountRate,T41:T$55)</f>
        <v>666929.21471673588</v>
      </c>
      <c r="G35" s="16">
        <f ca="1">NPV(DiscountRate,U41:U$55)</f>
        <v>403172.60999467294</v>
      </c>
      <c r="H35" s="16">
        <f ca="1">NPV(DiscountRate,V41:V$55)</f>
        <v>1988388.2269051841</v>
      </c>
      <c r="I35" s="16">
        <f ca="1">SUM(F35:H35)</f>
        <v>3058490.0516165933</v>
      </c>
    </row>
    <row r="36" spans="3:22" x14ac:dyDescent="0.25">
      <c r="E36" s="9"/>
      <c r="F36" s="9"/>
    </row>
    <row r="37" spans="3:22" ht="12.6" customHeight="1" x14ac:dyDescent="0.25">
      <c r="C37" s="2" t="s">
        <v>93</v>
      </c>
      <c r="E37" s="9"/>
      <c r="F37" s="9"/>
      <c r="J37" s="16"/>
      <c r="K37" s="16"/>
      <c r="L37" s="16"/>
      <c r="M37" s="16"/>
      <c r="N37" s="16"/>
      <c r="O37" s="16"/>
      <c r="P37" s="16"/>
      <c r="Q37" s="16"/>
      <c r="R37" s="16"/>
    </row>
    <row r="38" spans="3:22" ht="12.6" customHeight="1" x14ac:dyDescent="0.25">
      <c r="C38" s="2"/>
      <c r="E38" s="9"/>
      <c r="F38" s="9"/>
      <c r="J38" s="116" t="s">
        <v>56</v>
      </c>
      <c r="K38" s="117"/>
      <c r="L38" s="117"/>
      <c r="M38" s="117"/>
      <c r="N38" s="118"/>
      <c r="O38" s="18"/>
      <c r="P38" s="116" t="s">
        <v>57</v>
      </c>
      <c r="Q38" s="117"/>
      <c r="R38" s="118"/>
      <c r="T38" s="19" t="s">
        <v>34</v>
      </c>
      <c r="U38" s="3">
        <v>6</v>
      </c>
    </row>
    <row r="39" spans="3:22" ht="45" x14ac:dyDescent="0.25">
      <c r="E39" s="20" t="s">
        <v>3</v>
      </c>
      <c r="F39" s="20" t="s">
        <v>22</v>
      </c>
      <c r="G39" s="20" t="s">
        <v>29</v>
      </c>
      <c r="H39" s="20" t="s">
        <v>28</v>
      </c>
      <c r="I39" s="20" t="s">
        <v>30</v>
      </c>
      <c r="J39" s="20" t="s">
        <v>52</v>
      </c>
      <c r="K39" s="20" t="s">
        <v>53</v>
      </c>
      <c r="L39" s="20" t="s">
        <v>54</v>
      </c>
      <c r="M39" s="20" t="s">
        <v>55</v>
      </c>
      <c r="N39" s="20" t="s">
        <v>70</v>
      </c>
      <c r="O39" s="20" t="s">
        <v>71</v>
      </c>
      <c r="P39" s="20" t="s">
        <v>68</v>
      </c>
      <c r="Q39" s="20" t="s">
        <v>32</v>
      </c>
      <c r="R39" s="20" t="s">
        <v>33</v>
      </c>
      <c r="T39" s="20" t="str">
        <f>"Claims Paid (t&lt;="&amp;$U$38&amp;")"</f>
        <v>Claims Paid (t&lt;=6)</v>
      </c>
      <c r="U39" s="20" t="str">
        <f>"Claim Reserve (t="&amp;$U$38&amp;")"</f>
        <v>Claim Reserve (t=6)</v>
      </c>
      <c r="V39" s="20" t="str">
        <f>"Future Claims Paid (incurred t&gt;"&amp;$U$38&amp;")"</f>
        <v>Future Claims Paid (incurred t&gt;6)</v>
      </c>
    </row>
    <row r="40" spans="3:22" x14ac:dyDescent="0.25">
      <c r="E40" s="30">
        <v>0</v>
      </c>
      <c r="F40" s="30"/>
      <c r="G40" s="30"/>
      <c r="H40" s="30"/>
      <c r="I40" s="30"/>
      <c r="J40" s="30"/>
      <c r="K40" s="30"/>
      <c r="L40" s="30"/>
      <c r="M40" s="30"/>
      <c r="N40" s="30"/>
      <c r="O40" s="30"/>
      <c r="P40" s="30"/>
      <c r="Q40" s="30"/>
      <c r="R40" s="30"/>
      <c r="T40" s="30"/>
      <c r="U40" s="30"/>
      <c r="V40" s="30"/>
    </row>
    <row r="41" spans="3:22" x14ac:dyDescent="0.25">
      <c r="E41" s="30">
        <v>1</v>
      </c>
      <c r="F41" s="37">
        <v>1000</v>
      </c>
      <c r="G41" s="32"/>
      <c r="H41" s="32"/>
      <c r="I41" s="32"/>
      <c r="J41" s="76">
        <f>'Base Case'!J41</f>
        <v>451963.07684931025</v>
      </c>
      <c r="K41" s="76">
        <f>'Base Case'!K41</f>
        <v>25000</v>
      </c>
      <c r="L41" s="77">
        <f>'Base Case'!L41</f>
        <v>15818.707689725861</v>
      </c>
      <c r="M41" s="76">
        <f ca="1">P41-P40</f>
        <v>279058.15995037323</v>
      </c>
      <c r="N41" s="77">
        <f ca="1">'Base Case'!N41</f>
        <v>163723.62458866287</v>
      </c>
      <c r="O41" s="78">
        <f ca="1">'Base Case'!O41</f>
        <v>0.35000000000000053</v>
      </c>
      <c r="P41" s="76">
        <f ca="1">'Base Case'!P41</f>
        <v>279058.15995037323</v>
      </c>
      <c r="Q41" s="76">
        <f ca="1">'Base Case'!Q41</f>
        <v>216445.12562154746</v>
      </c>
      <c r="R41" s="76">
        <f>'Base Case'!R41</f>
        <v>62613.034328825532</v>
      </c>
      <c r="T41" s="32">
        <f t="shared" ref="T41:T55" ca="1" si="0">IF(E41&lt;=$U$38,SUM(OFFSET($G$77,0,E41-1,U$38)),0)</f>
        <v>25000</v>
      </c>
      <c r="U41" s="32">
        <f t="shared" ref="U41:U55" ca="1" si="1">IF(E41=$U$38,OFFSET($F$111,0,$U$38),0)</f>
        <v>0</v>
      </c>
      <c r="V41" s="34">
        <f t="shared" ref="V41:V55" ca="1" si="2">IF(E41&gt;$U$38,OFFSET($F$92,0,E41)-IFERROR(SUM(OFFSET($G$77,0,E41-1,U$38)),0),0)</f>
        <v>0</v>
      </c>
    </row>
    <row r="42" spans="3:22" x14ac:dyDescent="0.25">
      <c r="E42" s="30">
        <f>E41+1</f>
        <v>2</v>
      </c>
      <c r="F42" s="37">
        <f t="shared" ref="F42:F55" si="3">F41*(1-PolicyTerm)</f>
        <v>950</v>
      </c>
      <c r="G42" s="32"/>
      <c r="H42" s="32"/>
      <c r="I42" s="32"/>
      <c r="J42" s="76">
        <f>'Base Case'!J42</f>
        <v>429364.92300684477</v>
      </c>
      <c r="K42" s="76">
        <f>'Base Case'!K42</f>
        <v>56875</v>
      </c>
      <c r="L42" s="77">
        <f ca="1">'Base Case'!L42</f>
        <v>24794.807903502631</v>
      </c>
      <c r="M42" s="76">
        <f t="shared" ref="M42:M55" ca="1" si="4">P42-P41</f>
        <v>241747.2875511176</v>
      </c>
      <c r="N42" s="77">
        <f ca="1">'Base Case'!N42</f>
        <v>155537.44335922983</v>
      </c>
      <c r="O42" s="78">
        <f ca="1">'Base Case'!O42</f>
        <v>0.3500000000000007</v>
      </c>
      <c r="P42" s="76">
        <f ca="1">'Base Case'!P42</f>
        <v>520805.44750149082</v>
      </c>
      <c r="Q42" s="76">
        <f ca="1">'Base Case'!Q42</f>
        <v>388027.38305258006</v>
      </c>
      <c r="R42" s="76">
        <f>'Base Case'!R42</f>
        <v>132778.06444891082</v>
      </c>
      <c r="T42" s="32">
        <f t="shared" ca="1" si="0"/>
        <v>56875</v>
      </c>
      <c r="U42" s="32">
        <f t="shared" ca="1" si="1"/>
        <v>0</v>
      </c>
      <c r="V42" s="34">
        <f t="shared" ca="1" si="2"/>
        <v>0</v>
      </c>
    </row>
    <row r="43" spans="3:22" x14ac:dyDescent="0.25">
      <c r="E43" s="30">
        <f t="shared" ref="E43:E55" si="5">E42+1</f>
        <v>3</v>
      </c>
      <c r="F43" s="37">
        <f t="shared" si="3"/>
        <v>902.5</v>
      </c>
      <c r="G43" s="32"/>
      <c r="H43" s="32"/>
      <c r="I43" s="32"/>
      <c r="J43" s="76">
        <f>'Base Case'!J43</f>
        <v>407896.67685650248</v>
      </c>
      <c r="K43" s="76">
        <f>'Base Case'!K43</f>
        <v>93468.75</v>
      </c>
      <c r="L43" s="77">
        <f ca="1">'Base Case'!L43</f>
        <v>32504.574352529766</v>
      </c>
      <c r="M43" s="76">
        <f t="shared" ca="1" si="4"/>
        <v>199171.93001776468</v>
      </c>
      <c r="N43" s="77">
        <f ca="1">'Base Case'!N43</f>
        <v>147760.57119126758</v>
      </c>
      <c r="O43" s="78">
        <f ca="1">'Base Case'!O43</f>
        <v>0.34999999999999898</v>
      </c>
      <c r="P43" s="76">
        <f ca="1">'Base Case'!P43</f>
        <v>719977.3775192555</v>
      </c>
      <c r="Q43" s="76">
        <f ca="1">'Base Case'!Q43</f>
        <v>517879.30385110201</v>
      </c>
      <c r="R43" s="76">
        <f>'Base Case'!R43</f>
        <v>202098.07366815279</v>
      </c>
      <c r="T43" s="32">
        <f t="shared" ca="1" si="0"/>
        <v>93468.75</v>
      </c>
      <c r="U43" s="32">
        <f t="shared" ca="1" si="1"/>
        <v>0</v>
      </c>
      <c r="V43" s="34">
        <f t="shared" ca="1" si="2"/>
        <v>0</v>
      </c>
    </row>
    <row r="44" spans="3:22" x14ac:dyDescent="0.25">
      <c r="E44" s="30">
        <f t="shared" si="5"/>
        <v>4</v>
      </c>
      <c r="F44" s="37">
        <f t="shared" si="3"/>
        <v>857.375</v>
      </c>
      <c r="G44" s="32"/>
      <c r="H44" s="32"/>
      <c r="I44" s="32"/>
      <c r="J44" s="86">
        <f>'Claims Shock'!J44</f>
        <v>387501.8430136774</v>
      </c>
      <c r="K44" s="86">
        <f>'Claims Shock'!K44</f>
        <v>147054.6875</v>
      </c>
      <c r="L44" s="86">
        <f ca="1">'Claims Shock'!L44</f>
        <v>38761.772718652654</v>
      </c>
      <c r="M44" s="86">
        <f t="shared" ca="1" si="4"/>
        <v>153643.19631256838</v>
      </c>
      <c r="N44" s="86">
        <f ca="1">'Claims Shock'!N44</f>
        <v>125565.73191976169</v>
      </c>
      <c r="O44" s="87">
        <f ca="1">'Claims Shock'!O44</f>
        <v>0.31308121480155099</v>
      </c>
      <c r="P44" s="88">
        <f ca="1">'Claims Shock'!P44</f>
        <v>873620.57383182389</v>
      </c>
      <c r="Q44" s="88">
        <f ca="1">'Claims Shock'!Q44</f>
        <v>586798.07306670421</v>
      </c>
      <c r="R44" s="88">
        <f>'Claims Shock'!R44</f>
        <v>286822.50076511921</v>
      </c>
      <c r="T44" s="32">
        <f t="shared" ca="1" si="0"/>
        <v>147054.6875</v>
      </c>
      <c r="U44" s="32">
        <f t="shared" ca="1" si="1"/>
        <v>0</v>
      </c>
      <c r="V44" s="34">
        <f t="shared" ca="1" si="2"/>
        <v>0</v>
      </c>
    </row>
    <row r="45" spans="3:22" x14ac:dyDescent="0.25">
      <c r="E45" s="30">
        <f t="shared" si="5"/>
        <v>5</v>
      </c>
      <c r="F45" s="37">
        <f t="shared" si="3"/>
        <v>814.50624999999991</v>
      </c>
      <c r="G45" s="32"/>
      <c r="H45" s="32"/>
      <c r="I45" s="32"/>
      <c r="J45" s="93">
        <f>'Update Assumptions'!J45</f>
        <v>368126.75086299347</v>
      </c>
      <c r="K45" s="93">
        <f>'Update Assumptions'!K45</f>
        <v>208142.65625</v>
      </c>
      <c r="L45" s="93">
        <f ca="1">'Update Assumptions'!L45</f>
        <v>43461.156364318616</v>
      </c>
      <c r="M45" s="93">
        <f t="shared" ca="1" si="4"/>
        <v>323969.57862282125</v>
      </c>
      <c r="N45" s="93">
        <f ca="1">'Update Assumptions'!N45</f>
        <v>-120524.32764550915</v>
      </c>
      <c r="O45" s="94">
        <f ca="1">'Update Assumptions'!O45</f>
        <v>-0.31632752977463524</v>
      </c>
      <c r="P45" s="95">
        <f ca="1">'Update Assumptions'!P45</f>
        <v>1197590.1524546451</v>
      </c>
      <c r="Q45" s="95">
        <f ca="1">'Update Assumptions'!Q45</f>
        <v>756453.28513466916</v>
      </c>
      <c r="R45" s="95">
        <f>'Update Assumptions'!R45</f>
        <v>441136.86731997575</v>
      </c>
      <c r="T45" s="32">
        <f t="shared" ca="1" si="0"/>
        <v>208142.65625</v>
      </c>
      <c r="U45" s="32">
        <f t="shared" ca="1" si="1"/>
        <v>0</v>
      </c>
      <c r="V45" s="34">
        <f t="shared" ca="1" si="2"/>
        <v>0</v>
      </c>
    </row>
    <row r="46" spans="3:22" x14ac:dyDescent="0.25">
      <c r="E46" s="38">
        <f t="shared" si="5"/>
        <v>6</v>
      </c>
      <c r="F46" s="39">
        <f t="shared" si="3"/>
        <v>773.78093749999982</v>
      </c>
      <c r="G46" s="40"/>
      <c r="H46" s="40"/>
      <c r="I46" s="40"/>
      <c r="J46" s="40">
        <f t="shared" ref="J46" si="6">$E$30*F46</f>
        <v>349720.41331984376</v>
      </c>
      <c r="K46" s="40">
        <f t="shared" ref="K46:K55" si="7">HLOOKUP(E46,$G$76:$U$92,17,0)</f>
        <v>248281.98046875</v>
      </c>
      <c r="L46" s="40">
        <f t="shared" ref="L46:L55" ca="1" si="8">($J46+P45)*DiscountRate</f>
        <v>54155.869802107118</v>
      </c>
      <c r="M46" s="96">
        <f t="shared" ca="1" si="4"/>
        <v>-86779.766654788051</v>
      </c>
      <c r="N46" s="96">
        <f ca="1">J46+L46-K46-M46</f>
        <v>242374.06930798892</v>
      </c>
      <c r="O46" s="97">
        <f t="shared" ref="O46:O55" ca="1" si="9">IFERROR((N46/(1+DiscountRate))/J46,0)</f>
        <v>0.6696144572145587</v>
      </c>
      <c r="P46" s="98">
        <f t="shared" ref="P46:P55" ca="1" si="10">H47-G47*NetPremiumRatio</f>
        <v>1110810.3857998571</v>
      </c>
      <c r="Q46" s="96">
        <f t="shared" ref="Q46:Q55" ca="1" si="11">I47-G47*NetPremiumRatio</f>
        <v>615208.30752768577</v>
      </c>
      <c r="R46" s="40">
        <f t="shared" ref="R46:R55" si="12">HLOOKUP(E46,$G$95:$U$111,17,0)</f>
        <v>495602.07827217155</v>
      </c>
      <c r="T46" s="32">
        <f t="shared" ca="1" si="0"/>
        <v>248281.98046875</v>
      </c>
      <c r="U46" s="32">
        <f t="shared" ca="1" si="1"/>
        <v>495602.07827217155</v>
      </c>
      <c r="V46" s="34">
        <f t="shared" ca="1" si="2"/>
        <v>0</v>
      </c>
    </row>
    <row r="47" spans="3:22" x14ac:dyDescent="0.25">
      <c r="E47" s="30">
        <f t="shared" si="5"/>
        <v>7</v>
      </c>
      <c r="F47" s="37">
        <f t="shared" si="3"/>
        <v>735.09189062499979</v>
      </c>
      <c r="G47" s="32">
        <f>NPV(DiscountRate,J47:J$55)*(1+DiscountRate)</f>
        <v>2576409.618502771</v>
      </c>
      <c r="H47" s="32">
        <f>NPV(DiscountRate,K47:K$55)</f>
        <v>2939838.8970360947</v>
      </c>
      <c r="I47" s="32">
        <f ca="1">NPV(DiscountRate,F83:$F$91)*(1+DiscountRate)</f>
        <v>2444236.8187639234</v>
      </c>
      <c r="J47" s="99">
        <f>$E$30*F47*(1+G24)</f>
        <v>365457.83191923675</v>
      </c>
      <c r="K47" s="32">
        <f t="shared" si="7"/>
        <v>282048.24238281243</v>
      </c>
      <c r="L47" s="100">
        <f t="shared" ca="1" si="8"/>
        <v>51669.387620168294</v>
      </c>
      <c r="M47" s="32">
        <f t="shared" ca="1" si="4"/>
        <v>25354.169883487746</v>
      </c>
      <c r="N47" s="32">
        <f t="shared" ref="N47:N55" ca="1" si="13">J47+L47-K47-M47</f>
        <v>109724.80727310485</v>
      </c>
      <c r="O47" s="33">
        <f t="shared" ca="1" si="9"/>
        <v>0.29008628981165457</v>
      </c>
      <c r="P47" s="34">
        <f t="shared" ca="1" si="10"/>
        <v>1136164.5556833448</v>
      </c>
      <c r="Q47" s="32">
        <f t="shared" ca="1" si="11"/>
        <v>593330.89732702007</v>
      </c>
      <c r="R47" s="32">
        <f t="shared" si="12"/>
        <v>542833.65835632407</v>
      </c>
      <c r="T47" s="32">
        <f t="shared" ca="1" si="0"/>
        <v>0</v>
      </c>
      <c r="U47" s="32">
        <f t="shared" ca="1" si="1"/>
        <v>0</v>
      </c>
      <c r="V47" s="34">
        <f t="shared" ca="1" si="2"/>
        <v>73509.189062499965</v>
      </c>
    </row>
    <row r="48" spans="3:22" x14ac:dyDescent="0.25">
      <c r="E48" s="30">
        <f t="shared" si="5"/>
        <v>8</v>
      </c>
      <c r="F48" s="37">
        <f t="shared" si="3"/>
        <v>698.33729609374973</v>
      </c>
      <c r="G48" s="32">
        <f>NPV(DiscountRate,J48:J$55)*(1+DiscountRate)</f>
        <v>2288335.099113958</v>
      </c>
      <c r="H48" s="32">
        <f>NPV(DiscountRate,K48:K$55)</f>
        <v>2760685.0160495462</v>
      </c>
      <c r="I48" s="32">
        <f ca="1">NPV(DiscountRate,F84:$F$91)*(1+DiscountRate)</f>
        <v>2217851.3576932214</v>
      </c>
      <c r="J48" s="99">
        <f>$E$30*F48*(1+$G$25)</f>
        <v>378747.20762539073</v>
      </c>
      <c r="K48" s="32">
        <f t="shared" si="7"/>
        <v>307819.72919921868</v>
      </c>
      <c r="L48" s="32">
        <f t="shared" ca="1" si="8"/>
        <v>53021.911715805749</v>
      </c>
      <c r="M48" s="32">
        <f t="shared" ca="1" si="4"/>
        <v>10234.58987712278</v>
      </c>
      <c r="N48" s="32">
        <f t="shared" ca="1" si="13"/>
        <v>113714.80026485503</v>
      </c>
      <c r="O48" s="33">
        <f t="shared" ca="1" si="9"/>
        <v>0.29008628981165696</v>
      </c>
      <c r="P48" s="34">
        <f t="shared" ca="1" si="10"/>
        <v>1146399.1455604676</v>
      </c>
      <c r="Q48" s="32">
        <f t="shared" ca="1" si="11"/>
        <v>559006.84333969024</v>
      </c>
      <c r="R48" s="32">
        <f t="shared" si="12"/>
        <v>587392.30222077738</v>
      </c>
      <c r="T48" s="32">
        <f t="shared" ca="1" si="0"/>
        <v>0</v>
      </c>
      <c r="U48" s="32">
        <f t="shared" ca="1" si="1"/>
        <v>0</v>
      </c>
      <c r="V48" s="34">
        <f t="shared" ca="1" si="2"/>
        <v>148396.67541992181</v>
      </c>
    </row>
    <row r="49" spans="4:25" x14ac:dyDescent="0.25">
      <c r="E49" s="30">
        <f t="shared" si="5"/>
        <v>9</v>
      </c>
      <c r="F49" s="37">
        <f t="shared" si="3"/>
        <v>663.42043128906221</v>
      </c>
      <c r="G49" s="32">
        <f>NPV(DiscountRate,J49:J$55)*(1+DiscountRate)</f>
        <v>1976423.4676906667</v>
      </c>
      <c r="H49" s="32">
        <f>NPV(DiscountRate,K49:K$55)</f>
        <v>2549489.262412061</v>
      </c>
      <c r="I49" s="32">
        <f ca="1">NPV(DiscountRate,F85:$F$91)*(1+DiscountRate)</f>
        <v>1962096.9601912836</v>
      </c>
      <c r="J49" s="99">
        <f t="shared" ref="J49:J55" si="14">$E$30*F49*(1+$G$25)</f>
        <v>359809.84724412119</v>
      </c>
      <c r="K49" s="32">
        <f t="shared" si="7"/>
        <v>331710.21564453113</v>
      </c>
      <c r="L49" s="32">
        <f t="shared" ca="1" si="8"/>
        <v>52717.314748160614</v>
      </c>
      <c r="M49" s="32">
        <f t="shared" ca="1" si="4"/>
        <v>-27212.113903861027</v>
      </c>
      <c r="N49" s="32">
        <f t="shared" ca="1" si="13"/>
        <v>108029.06025161169</v>
      </c>
      <c r="O49" s="33">
        <f t="shared" ca="1" si="9"/>
        <v>0.29008628981165541</v>
      </c>
      <c r="P49" s="34">
        <f t="shared" ca="1" si="10"/>
        <v>1119187.0316566066</v>
      </c>
      <c r="Q49" s="32">
        <f t="shared" ca="1" si="11"/>
        <v>491045.95309136529</v>
      </c>
      <c r="R49" s="32">
        <f t="shared" si="12"/>
        <v>628141.0785652406</v>
      </c>
      <c r="T49" s="32">
        <f t="shared" ca="1" si="0"/>
        <v>0</v>
      </c>
      <c r="U49" s="32">
        <f t="shared" ca="1" si="1"/>
        <v>0</v>
      </c>
      <c r="V49" s="34">
        <f t="shared" ca="1" si="2"/>
        <v>223904.3955600585</v>
      </c>
    </row>
    <row r="50" spans="4:25" x14ac:dyDescent="0.25">
      <c r="E50" s="30">
        <f t="shared" si="5"/>
        <v>10</v>
      </c>
      <c r="F50" s="37">
        <f t="shared" si="3"/>
        <v>630.24940972460911</v>
      </c>
      <c r="G50" s="32">
        <f>NPV(DiscountRate,J50:J$55)*(1+DiscountRate)</f>
        <v>1673195.0971621743</v>
      </c>
      <c r="H50" s="32">
        <f>NPV(DiscountRate,K50:K$55)</f>
        <v>2307011.1709519522</v>
      </c>
      <c r="I50" s="32">
        <f ca="1">NPV(DiscountRate,F86:$F$91)*(1+DiscountRate)</f>
        <v>1678870.0923867109</v>
      </c>
      <c r="J50" s="99">
        <f t="shared" si="14"/>
        <v>341819.35488191515</v>
      </c>
      <c r="K50" s="32">
        <f t="shared" si="7"/>
        <v>354515.29297009268</v>
      </c>
      <c r="L50" s="32">
        <f t="shared" ca="1" si="8"/>
        <v>51135.22352884827</v>
      </c>
      <c r="M50" s="32">
        <f t="shared" ca="1" si="4"/>
        <v>-64188.321798360907</v>
      </c>
      <c r="N50" s="32">
        <f t="shared" ca="1" si="13"/>
        <v>102627.60723903164</v>
      </c>
      <c r="O50" s="33">
        <f t="shared" ca="1" si="9"/>
        <v>0.29008628981165691</v>
      </c>
      <c r="P50" s="34">
        <f t="shared" ca="1" si="10"/>
        <v>1054998.7098582457</v>
      </c>
      <c r="Q50" s="32">
        <f t="shared" ca="1" si="11"/>
        <v>391652.21333853947</v>
      </c>
      <c r="R50" s="32">
        <f t="shared" si="12"/>
        <v>663346.49651970575</v>
      </c>
      <c r="T50" s="32">
        <f t="shared" ca="1" si="0"/>
        <v>0</v>
      </c>
      <c r="U50" s="32">
        <f t="shared" ca="1" si="1"/>
        <v>0</v>
      </c>
      <c r="V50" s="34">
        <f t="shared" ca="1" si="2"/>
        <v>299368.46961918939</v>
      </c>
    </row>
    <row r="51" spans="4:25" x14ac:dyDescent="0.25">
      <c r="E51" s="30">
        <f t="shared" si="5"/>
        <v>11</v>
      </c>
      <c r="F51" s="37">
        <f t="shared" si="3"/>
        <v>598.73693923837868</v>
      </c>
      <c r="G51" s="32">
        <f>NPV(DiscountRate,J51:J$55)*(1+DiscountRate)</f>
        <v>1377973.893260068</v>
      </c>
      <c r="H51" s="32">
        <f>NPV(DiscountRate,K51:K$55)</f>
        <v>2033241.2689651775</v>
      </c>
      <c r="I51" s="32">
        <f ca="1">NPV(DiscountRate,F87:$F$91)*(1+DiscountRate)</f>
        <v>1369894.7724454713</v>
      </c>
      <c r="J51" s="32">
        <f t="shared" si="14"/>
        <v>324728.38713781937</v>
      </c>
      <c r="K51" s="32">
        <f t="shared" si="7"/>
        <v>374210.58702398668</v>
      </c>
      <c r="L51" s="32">
        <f t="shared" ca="1" si="8"/>
        <v>48290.44839486228</v>
      </c>
      <c r="M51" s="32">
        <f t="shared" ca="1" si="4"/>
        <v>-98687.978368385462</v>
      </c>
      <c r="N51" s="32">
        <f t="shared" ca="1" si="13"/>
        <v>97496.226877080451</v>
      </c>
      <c r="O51" s="33">
        <f t="shared" ca="1" si="9"/>
        <v>0.29008628981165807</v>
      </c>
      <c r="P51" s="34">
        <f t="shared" ca="1" si="10"/>
        <v>956310.73148986022</v>
      </c>
      <c r="Q51" s="32">
        <f t="shared" ca="1" si="11"/>
        <v>262849.71150754916</v>
      </c>
      <c r="R51" s="32">
        <f t="shared" si="12"/>
        <v>693461.01998231118</v>
      </c>
      <c r="T51" s="32">
        <f t="shared" ca="1" si="0"/>
        <v>0</v>
      </c>
      <c r="U51" s="32">
        <f t="shared" ca="1" si="1"/>
        <v>0</v>
      </c>
      <c r="V51" s="34">
        <f t="shared" ca="1" si="2"/>
        <v>374210.58702398668</v>
      </c>
    </row>
    <row r="52" spans="4:25" x14ac:dyDescent="0.25">
      <c r="E52" s="30">
        <f t="shared" si="5"/>
        <v>12</v>
      </c>
      <c r="F52" s="37">
        <f t="shared" si="3"/>
        <v>568.80009227645974</v>
      </c>
      <c r="G52" s="32">
        <f>NPV(DiscountRate,J52:J$55)*(1+DiscountRate)</f>
        <v>1090109.0988365274</v>
      </c>
      <c r="H52" s="32">
        <f>NPV(DiscountRate,K52:K$55)</f>
        <v>1730194.1263549714</v>
      </c>
      <c r="I52" s="32">
        <f ca="1">NPV(DiscountRate,F88:$F$91)*(1+DiscountRate)</f>
        <v>1036733.1063726604</v>
      </c>
      <c r="J52" s="32">
        <f t="shared" si="14"/>
        <v>308491.96778092836</v>
      </c>
      <c r="K52" s="32">
        <f t="shared" si="7"/>
        <v>395316.06413213949</v>
      </c>
      <c r="L52" s="32">
        <f t="shared" ca="1" si="8"/>
        <v>44268.094474477606</v>
      </c>
      <c r="M52" s="32">
        <f t="shared" ca="1" si="4"/>
        <v>-135177.41740995913</v>
      </c>
      <c r="N52" s="32">
        <f t="shared" ca="1" si="13"/>
        <v>92621.415533225576</v>
      </c>
      <c r="O52" s="33">
        <f t="shared" ca="1" si="9"/>
        <v>0.29008628981165546</v>
      </c>
      <c r="P52" s="34">
        <f t="shared" ca="1" si="10"/>
        <v>821133.31407990109</v>
      </c>
      <c r="Q52" s="32">
        <f t="shared" ca="1" si="11"/>
        <v>157025.3228031852</v>
      </c>
      <c r="R52" s="32">
        <f t="shared" si="12"/>
        <v>664107.99127671577</v>
      </c>
      <c r="T52" s="32">
        <f t="shared" ca="1" si="0"/>
        <v>0</v>
      </c>
      <c r="U52" s="32">
        <f t="shared" ca="1" si="1"/>
        <v>0</v>
      </c>
      <c r="V52" s="34">
        <f t="shared" ca="1" si="2"/>
        <v>395316.06413213949</v>
      </c>
    </row>
    <row r="53" spans="4:25" x14ac:dyDescent="0.25">
      <c r="E53" s="30">
        <f t="shared" si="5"/>
        <v>13</v>
      </c>
      <c r="F53" s="37">
        <f t="shared" si="3"/>
        <v>540.36008766263672</v>
      </c>
      <c r="G53" s="32">
        <f>NPV(DiscountRate,J53:J$55)*(1+DiscountRate)</f>
        <v>808973.73064254492</v>
      </c>
      <c r="H53" s="32">
        <f>NPV(DiscountRate,K53:K$55)</f>
        <v>1395434.856645256</v>
      </c>
      <c r="I53" s="32">
        <f ca="1">NPV(DiscountRate,F89:$F$91)*(1+DiscountRate)</f>
        <v>731326.86536854017</v>
      </c>
      <c r="J53" s="32">
        <f t="shared" si="14"/>
        <v>293067.36939188198</v>
      </c>
      <c r="K53" s="32">
        <f t="shared" si="7"/>
        <v>428235.36947263964</v>
      </c>
      <c r="L53" s="32">
        <f t="shared" ca="1" si="8"/>
        <v>38997.023921512409</v>
      </c>
      <c r="M53" s="32">
        <f t="shared" ca="1" si="4"/>
        <v>-184161.32091581007</v>
      </c>
      <c r="N53" s="32">
        <f t="shared" ca="1" si="13"/>
        <v>87990.344756564824</v>
      </c>
      <c r="O53" s="33">
        <f t="shared" ca="1" si="9"/>
        <v>0.29008628981165713</v>
      </c>
      <c r="P53" s="34">
        <f t="shared" ca="1" si="10"/>
        <v>636971.99316409102</v>
      </c>
      <c r="Q53" s="32">
        <f t="shared" ca="1" si="11"/>
        <v>64621.148158683558</v>
      </c>
      <c r="R53" s="32">
        <f t="shared" si="12"/>
        <v>572350.84500540746</v>
      </c>
      <c r="T53" s="32">
        <f t="shared" ca="1" si="0"/>
        <v>0</v>
      </c>
      <c r="U53" s="32">
        <f t="shared" ca="1" si="1"/>
        <v>0</v>
      </c>
      <c r="V53" s="34">
        <f t="shared" ca="1" si="2"/>
        <v>428235.36947263964</v>
      </c>
    </row>
    <row r="54" spans="4:25" x14ac:dyDescent="0.25">
      <c r="E54" s="30">
        <f t="shared" si="5"/>
        <v>14</v>
      </c>
      <c r="F54" s="37">
        <f t="shared" si="3"/>
        <v>513.34208327950489</v>
      </c>
      <c r="G54" s="32">
        <f>NPV(DiscountRate,J54:J$55)*(1+DiscountRate)</f>
        <v>533963.08389443613</v>
      </c>
      <c r="H54" s="32">
        <f>NPV(DiscountRate,K54:K$55)</f>
        <v>1016039.7071552001</v>
      </c>
      <c r="I54" s="32">
        <f ca="1">NPV(DiscountRate,F90:$F$91)*(1+DiscountRate)</f>
        <v>443688.86214979261</v>
      </c>
      <c r="J54" s="32">
        <f t="shared" si="14"/>
        <v>278414.00092228787</v>
      </c>
      <c r="K54" s="32">
        <f t="shared" si="7"/>
        <v>483824.91349093331</v>
      </c>
      <c r="L54" s="32">
        <f t="shared" ca="1" si="8"/>
        <v>32038.509793023266</v>
      </c>
      <c r="M54" s="32">
        <f t="shared" ca="1" si="4"/>
        <v>-256963.23029435857</v>
      </c>
      <c r="N54" s="32">
        <f t="shared" ca="1" si="13"/>
        <v>83590.82751873642</v>
      </c>
      <c r="O54" s="33">
        <f t="shared" ca="1" si="9"/>
        <v>0.29008628981165657</v>
      </c>
      <c r="P54" s="34">
        <f t="shared" ca="1" si="10"/>
        <v>380008.76286973245</v>
      </c>
      <c r="Q54" s="32">
        <f t="shared" ca="1" si="11"/>
        <v>706.00133543167613</v>
      </c>
      <c r="R54" s="32">
        <f t="shared" si="12"/>
        <v>379302.76153430087</v>
      </c>
      <c r="T54" s="32">
        <f t="shared" ca="1" si="0"/>
        <v>0</v>
      </c>
      <c r="U54" s="32">
        <f t="shared" ca="1" si="1"/>
        <v>0</v>
      </c>
      <c r="V54" s="34">
        <f t="shared" ca="1" si="2"/>
        <v>483824.91349093331</v>
      </c>
    </row>
    <row r="55" spans="4:25" x14ac:dyDescent="0.25">
      <c r="E55" s="38">
        <f t="shared" si="5"/>
        <v>15</v>
      </c>
      <c r="F55" s="39">
        <f t="shared" si="3"/>
        <v>487.6749791155296</v>
      </c>
      <c r="G55" s="40">
        <f>NPV(DiscountRate,J55:J$55)*(1+DiscountRate)</f>
        <v>264493.30087617342</v>
      </c>
      <c r="H55" s="40">
        <f>NPV(DiscountRate,K55:K$55)</f>
        <v>567776.18341469869</v>
      </c>
      <c r="I55" s="40">
        <f ca="1">NPV(DiscountRate,F91:$F$91)*(1+DiscountRate)</f>
        <v>188473.42188039789</v>
      </c>
      <c r="J55" s="40">
        <f t="shared" si="14"/>
        <v>264493.30087617342</v>
      </c>
      <c r="K55" s="40">
        <f t="shared" si="7"/>
        <v>587648.34983421315</v>
      </c>
      <c r="L55" s="40">
        <f t="shared" ca="1" si="8"/>
        <v>22557.572231106707</v>
      </c>
      <c r="M55" s="40">
        <f t="shared" ca="1" si="4"/>
        <v>-380008.76286973245</v>
      </c>
      <c r="N55" s="40">
        <f t="shared" ca="1" si="13"/>
        <v>79411.286142799421</v>
      </c>
      <c r="O55" s="41">
        <f t="shared" ca="1" si="9"/>
        <v>0.29008628981165602</v>
      </c>
      <c r="P55" s="42">
        <f t="shared" ca="1" si="10"/>
        <v>0</v>
      </c>
      <c r="Q55" s="40">
        <f t="shared" ca="1" si="11"/>
        <v>0</v>
      </c>
      <c r="R55" s="40">
        <f t="shared" si="12"/>
        <v>0</v>
      </c>
      <c r="T55" s="40">
        <f t="shared" ca="1" si="0"/>
        <v>0</v>
      </c>
      <c r="U55" s="40">
        <f t="shared" ca="1" si="1"/>
        <v>0</v>
      </c>
      <c r="V55" s="42">
        <f t="shared" ca="1" si="2"/>
        <v>587648.34983421315</v>
      </c>
    </row>
    <row r="56" spans="4:25" x14ac:dyDescent="0.25">
      <c r="F56" s="47"/>
      <c r="G56" s="47"/>
      <c r="H56" s="47"/>
      <c r="I56" s="47"/>
      <c r="J56" s="47"/>
      <c r="K56" s="47"/>
      <c r="L56" s="47"/>
      <c r="M56" s="47"/>
      <c r="N56" s="47"/>
      <c r="O56" s="47"/>
      <c r="P56" s="47"/>
      <c r="Q56" s="47"/>
      <c r="R56" s="47"/>
      <c r="S56" s="47"/>
    </row>
    <row r="57" spans="4:25" x14ac:dyDescent="0.25">
      <c r="D57" s="2" t="s">
        <v>39</v>
      </c>
      <c r="G57" s="49" t="s">
        <v>16</v>
      </c>
      <c r="H57" s="50"/>
    </row>
    <row r="58" spans="4:25" x14ac:dyDescent="0.25">
      <c r="E58" s="3" t="s">
        <v>12</v>
      </c>
      <c r="F58" s="53" t="s">
        <v>5</v>
      </c>
      <c r="G58" s="54">
        <v>1</v>
      </c>
      <c r="H58" s="54">
        <f>G58+1</f>
        <v>2</v>
      </c>
      <c r="I58" s="54">
        <f t="shared" ref="I58:U58" si="15">H58+1</f>
        <v>3</v>
      </c>
      <c r="J58" s="54">
        <f t="shared" si="15"/>
        <v>4</v>
      </c>
      <c r="K58" s="54">
        <f t="shared" si="15"/>
        <v>5</v>
      </c>
      <c r="L58" s="54">
        <f t="shared" si="15"/>
        <v>6</v>
      </c>
      <c r="M58" s="54">
        <f t="shared" si="15"/>
        <v>7</v>
      </c>
      <c r="N58" s="54">
        <f t="shared" si="15"/>
        <v>8</v>
      </c>
      <c r="O58" s="54">
        <f t="shared" si="15"/>
        <v>9</v>
      </c>
      <c r="P58" s="54">
        <f t="shared" si="15"/>
        <v>10</v>
      </c>
      <c r="Q58" s="54">
        <f t="shared" si="15"/>
        <v>11</v>
      </c>
      <c r="R58" s="54">
        <f t="shared" si="15"/>
        <v>12</v>
      </c>
      <c r="S58" s="54">
        <f t="shared" si="15"/>
        <v>13</v>
      </c>
      <c r="T58" s="54">
        <f t="shared" si="15"/>
        <v>14</v>
      </c>
      <c r="U58" s="54">
        <f t="shared" si="15"/>
        <v>15</v>
      </c>
    </row>
    <row r="59" spans="4:25" x14ac:dyDescent="0.25">
      <c r="E59" s="3">
        <v>1</v>
      </c>
      <c r="F59" s="82">
        <f t="shared" ref="F59:F73" ca="1" si="16">NPV(DiscountRate,OFFSET(G59,0,E59-1,1,5))</f>
        <v>91.231597440082965</v>
      </c>
      <c r="G59" s="83">
        <f>'Base Case'!G60</f>
        <v>25</v>
      </c>
      <c r="H59" s="83">
        <f>'Base Case'!H60</f>
        <v>21.25</v>
      </c>
      <c r="I59" s="83">
        <f>'Base Case'!I60</f>
        <v>18.0625</v>
      </c>
      <c r="J59" s="89">
        <f>'Claims Shock'!J59</f>
        <v>18.0625</v>
      </c>
      <c r="K59" s="101">
        <f>'Update Assumptions'!K59</f>
        <v>18.0625</v>
      </c>
      <c r="L59" s="15"/>
      <c r="M59" s="15"/>
      <c r="N59" s="15"/>
      <c r="O59" s="15"/>
      <c r="P59" s="15"/>
      <c r="Q59" s="15"/>
      <c r="R59" s="15"/>
      <c r="S59" s="15"/>
      <c r="T59" s="15"/>
      <c r="U59" s="15"/>
    </row>
    <row r="60" spans="4:25" x14ac:dyDescent="0.25">
      <c r="E60" s="3">
        <f>E59+1</f>
        <v>2</v>
      </c>
      <c r="F60" s="82">
        <f t="shared" ca="1" si="16"/>
        <v>148.01018234214499</v>
      </c>
      <c r="G60" s="15"/>
      <c r="H60" s="83">
        <f>'Base Case'!H61</f>
        <v>37.5</v>
      </c>
      <c r="I60" s="83">
        <f>'Base Case'!I61</f>
        <v>31.875</v>
      </c>
      <c r="J60" s="89">
        <f>'Claims Shock'!J60</f>
        <v>31.875</v>
      </c>
      <c r="K60" s="101">
        <f>'Update Assumptions'!K60</f>
        <v>31.875</v>
      </c>
      <c r="L60" s="15">
        <f>K60*(1-ClaimTerm)</f>
        <v>30.28125</v>
      </c>
      <c r="M60" s="15"/>
      <c r="N60" s="15"/>
      <c r="O60" s="15"/>
      <c r="P60" s="15"/>
      <c r="Q60" s="15"/>
      <c r="R60" s="15"/>
      <c r="S60" s="15"/>
      <c r="T60" s="15"/>
      <c r="U60" s="15"/>
    </row>
    <row r="61" spans="4:25" x14ac:dyDescent="0.25">
      <c r="E61" s="3">
        <f t="shared" ref="E61:E73" si="17">E60+1</f>
        <v>3</v>
      </c>
      <c r="F61" s="82">
        <f t="shared" ca="1" si="16"/>
        <v>219.4693940158557</v>
      </c>
      <c r="G61" s="15"/>
      <c r="H61" s="15"/>
      <c r="I61" s="83">
        <f>'Base Case'!I62</f>
        <v>50</v>
      </c>
      <c r="J61" s="89">
        <f>'Claims Shock'!J61</f>
        <v>50</v>
      </c>
      <c r="K61" s="101">
        <f>'Update Assumptions'!K61</f>
        <v>50</v>
      </c>
      <c r="L61" s="15">
        <f>K61*(1-ClaimTerm)</f>
        <v>47.5</v>
      </c>
      <c r="M61" s="15">
        <f>L61*(1-ClaimTerm)</f>
        <v>45.125</v>
      </c>
      <c r="N61" s="15"/>
      <c r="O61" s="15"/>
      <c r="P61" s="15"/>
      <c r="Q61" s="15"/>
      <c r="R61" s="15"/>
      <c r="S61" s="15"/>
      <c r="T61" s="15"/>
      <c r="U61" s="15"/>
      <c r="V61" s="15"/>
    </row>
    <row r="62" spans="4:25" x14ac:dyDescent="0.25">
      <c r="E62" s="3">
        <f t="shared" si="17"/>
        <v>4</v>
      </c>
      <c r="F62" s="82">
        <f t="shared" ca="1" si="16"/>
        <v>266.55645000397129</v>
      </c>
      <c r="G62" s="15"/>
      <c r="H62" s="15"/>
      <c r="I62" s="15"/>
      <c r="J62" s="89">
        <f>'Claims Shock'!J62</f>
        <v>62.5</v>
      </c>
      <c r="K62" s="101">
        <f>'Update Assumptions'!K62</f>
        <v>62.5</v>
      </c>
      <c r="L62" s="15">
        <f>K62*(1-ClaimTerm)</f>
        <v>59.375</v>
      </c>
      <c r="M62" s="15">
        <f>L62*(1-ClaimTerm)</f>
        <v>56.40625</v>
      </c>
      <c r="N62" s="15">
        <f>M62*(1-ClaimTerm)</f>
        <v>53.5859375</v>
      </c>
      <c r="O62" s="15"/>
      <c r="P62" s="15"/>
      <c r="Q62" s="15"/>
      <c r="R62" s="15"/>
      <c r="S62" s="15"/>
      <c r="T62" s="15"/>
      <c r="U62" s="15"/>
      <c r="V62" s="15"/>
      <c r="W62" s="15"/>
    </row>
    <row r="63" spans="4:25" x14ac:dyDescent="0.25">
      <c r="E63" s="3">
        <f t="shared" si="17"/>
        <v>5</v>
      </c>
      <c r="F63" s="82">
        <f t="shared" ca="1" si="16"/>
        <v>307.49754141032435</v>
      </c>
      <c r="G63" s="15"/>
      <c r="H63" s="15"/>
      <c r="I63" s="15"/>
      <c r="J63" s="15"/>
      <c r="K63" s="101">
        <f>'Update Assumptions'!K63</f>
        <v>75</v>
      </c>
      <c r="L63" s="15">
        <f>K63*(1-ClaimTerm)</f>
        <v>71.25</v>
      </c>
      <c r="M63" s="15">
        <f>L63*(1-ClaimTerm)</f>
        <v>67.6875</v>
      </c>
      <c r="N63" s="15">
        <f>M63*(1-ClaimTerm)</f>
        <v>64.303124999999994</v>
      </c>
      <c r="O63" s="15">
        <f>N63*(1-ClaimTerm)</f>
        <v>61.087968749999995</v>
      </c>
      <c r="P63" s="15"/>
      <c r="Q63" s="15"/>
      <c r="R63" s="15"/>
      <c r="S63" s="15"/>
      <c r="T63" s="15"/>
      <c r="U63" s="15"/>
      <c r="V63" s="15"/>
      <c r="W63" s="15"/>
      <c r="X63" s="15"/>
    </row>
    <row r="64" spans="4:25" x14ac:dyDescent="0.25">
      <c r="E64" s="3">
        <f t="shared" si="17"/>
        <v>6</v>
      </c>
      <c r="F64" s="82">
        <f t="shared" ca="1" si="16"/>
        <v>358.74713164537843</v>
      </c>
      <c r="G64" s="15"/>
      <c r="H64" s="15"/>
      <c r="I64" s="15"/>
      <c r="J64" s="15"/>
      <c r="K64" s="15"/>
      <c r="L64" s="15">
        <v>87.5</v>
      </c>
      <c r="M64" s="15">
        <f>L64*(1-ClaimTerm)</f>
        <v>83.125</v>
      </c>
      <c r="N64" s="15">
        <f>M64*(1-ClaimTerm)</f>
        <v>78.96875</v>
      </c>
      <c r="O64" s="15">
        <f>N64*(1-ClaimTerm)</f>
        <v>75.020312500000003</v>
      </c>
      <c r="P64" s="15">
        <f>O64*(1-ClaimTerm)</f>
        <v>71.269296874999995</v>
      </c>
      <c r="Q64" s="15"/>
      <c r="R64" s="15"/>
      <c r="S64" s="15"/>
      <c r="T64" s="15"/>
      <c r="U64" s="15"/>
      <c r="V64" s="15"/>
      <c r="W64" s="15"/>
      <c r="X64" s="15"/>
      <c r="Y64" s="15"/>
    </row>
    <row r="65" spans="4:29" x14ac:dyDescent="0.25">
      <c r="E65" s="3">
        <f t="shared" si="17"/>
        <v>7</v>
      </c>
      <c r="F65" s="82">
        <f t="shared" ca="1" si="16"/>
        <v>409.99672188043246</v>
      </c>
      <c r="G65" s="15"/>
      <c r="H65" s="15"/>
      <c r="I65" s="15"/>
      <c r="J65" s="15"/>
      <c r="K65" s="15"/>
      <c r="L65" s="15"/>
      <c r="M65" s="15">
        <v>100</v>
      </c>
      <c r="N65" s="15">
        <f>M65*(1-ClaimTerm)</f>
        <v>95</v>
      </c>
      <c r="O65" s="15">
        <f>N65*(1-ClaimTerm)</f>
        <v>90.25</v>
      </c>
      <c r="P65" s="15">
        <f>O65*(1-ClaimTerm)</f>
        <v>85.737499999999997</v>
      </c>
      <c r="Q65" s="15">
        <f>P65*(1-ClaimTerm)</f>
        <v>81.450624999999988</v>
      </c>
      <c r="R65" s="15"/>
      <c r="S65" s="15"/>
      <c r="T65" s="15"/>
      <c r="U65" s="15"/>
      <c r="V65" s="15"/>
      <c r="W65" s="15"/>
      <c r="X65" s="15"/>
      <c r="Y65" s="15"/>
      <c r="Z65" s="15"/>
    </row>
    <row r="66" spans="4:29" x14ac:dyDescent="0.25">
      <c r="E66" s="3">
        <f t="shared" si="17"/>
        <v>8</v>
      </c>
      <c r="F66" s="82">
        <f t="shared" ca="1" si="16"/>
        <v>461.24631211548649</v>
      </c>
      <c r="G66" s="15"/>
      <c r="H66" s="15"/>
      <c r="I66" s="15"/>
      <c r="J66" s="15"/>
      <c r="K66" s="15"/>
      <c r="L66" s="15"/>
      <c r="M66" s="15"/>
      <c r="N66" s="15">
        <v>112.5</v>
      </c>
      <c r="O66" s="15">
        <f>N66*(1-ClaimTerm)</f>
        <v>106.875</v>
      </c>
      <c r="P66" s="15">
        <f>O66*(1-ClaimTerm)</f>
        <v>101.53125</v>
      </c>
      <c r="Q66" s="15">
        <f>P66*(1-ClaimTerm)</f>
        <v>96.454687499999991</v>
      </c>
      <c r="R66" s="15">
        <f>Q66*(1-ClaimTerm)</f>
        <v>91.631953124999981</v>
      </c>
      <c r="S66" s="15"/>
      <c r="T66" s="15"/>
      <c r="U66" s="15"/>
      <c r="V66" s="15"/>
      <c r="W66" s="15"/>
      <c r="X66" s="15"/>
      <c r="Y66" s="15"/>
      <c r="Z66" s="15"/>
      <c r="AA66" s="15"/>
    </row>
    <row r="67" spans="4:29" x14ac:dyDescent="0.25">
      <c r="E67" s="3">
        <f t="shared" si="17"/>
        <v>9</v>
      </c>
      <c r="F67" s="82">
        <f t="shared" ca="1" si="16"/>
        <v>512.49590235054052</v>
      </c>
      <c r="G67" s="15"/>
      <c r="H67" s="15"/>
      <c r="I67" s="15"/>
      <c r="J67" s="15"/>
      <c r="K67" s="15"/>
      <c r="L67" s="15"/>
      <c r="M67" s="15"/>
      <c r="N67" s="15"/>
      <c r="O67" s="15">
        <v>125</v>
      </c>
      <c r="P67" s="15">
        <f>O67*(1-ClaimTerm)</f>
        <v>118.75</v>
      </c>
      <c r="Q67" s="15">
        <f>P67*(1-ClaimTerm)</f>
        <v>112.8125</v>
      </c>
      <c r="R67" s="15">
        <f>Q67*(1-ClaimTerm)</f>
        <v>107.171875</v>
      </c>
      <c r="S67" s="15">
        <f>R67*(1-ClaimTerm)</f>
        <v>101.81328124999999</v>
      </c>
      <c r="T67" s="15"/>
      <c r="U67" s="15"/>
      <c r="V67" s="15"/>
      <c r="W67" s="15"/>
      <c r="X67" s="15"/>
      <c r="Y67" s="15"/>
      <c r="Z67" s="15"/>
      <c r="AA67" s="15"/>
      <c r="AB67" s="15"/>
    </row>
    <row r="68" spans="4:29" x14ac:dyDescent="0.25">
      <c r="E68" s="3">
        <f t="shared" si="17"/>
        <v>10</v>
      </c>
      <c r="F68" s="82">
        <f t="shared" ca="1" si="16"/>
        <v>563.74549258559477</v>
      </c>
      <c r="G68" s="15"/>
      <c r="H68" s="15"/>
      <c r="I68" s="15"/>
      <c r="J68" s="15"/>
      <c r="K68" s="15"/>
      <c r="L68" s="15"/>
      <c r="M68" s="15"/>
      <c r="N68" s="15"/>
      <c r="O68" s="15"/>
      <c r="P68" s="15">
        <v>137.50000000000006</v>
      </c>
      <c r="Q68" s="15">
        <f>P68*(1-ClaimTerm)</f>
        <v>130.62500000000006</v>
      </c>
      <c r="R68" s="15">
        <f>Q68*(1-ClaimTerm)</f>
        <v>124.09375000000004</v>
      </c>
      <c r="S68" s="15">
        <f>R68*(1-ClaimTerm)</f>
        <v>117.88906250000004</v>
      </c>
      <c r="T68" s="15">
        <f>S68*(1-ClaimTerm)</f>
        <v>111.99460937500002</v>
      </c>
      <c r="U68" s="15"/>
      <c r="V68" s="15"/>
      <c r="W68" s="15"/>
      <c r="X68" s="15"/>
      <c r="Y68" s="15"/>
      <c r="Z68" s="15"/>
      <c r="AA68" s="15"/>
      <c r="AB68" s="15"/>
      <c r="AC68" s="15"/>
    </row>
    <row r="69" spans="4:29" x14ac:dyDescent="0.25">
      <c r="E69" s="3">
        <f t="shared" si="17"/>
        <v>11</v>
      </c>
      <c r="F69" s="82">
        <f t="shared" ca="1" si="16"/>
        <v>614.99508282064869</v>
      </c>
      <c r="G69" s="15"/>
      <c r="H69" s="15"/>
      <c r="I69" s="15"/>
      <c r="J69" s="15"/>
      <c r="K69" s="15"/>
      <c r="L69" s="15"/>
      <c r="M69" s="15"/>
      <c r="N69" s="15"/>
      <c r="O69" s="15"/>
      <c r="P69" s="15"/>
      <c r="Q69" s="15">
        <v>150</v>
      </c>
      <c r="R69" s="15">
        <f>Q69*(1-ClaimTerm)</f>
        <v>142.5</v>
      </c>
      <c r="S69" s="15">
        <f>R69*(1-ClaimTerm)</f>
        <v>135.375</v>
      </c>
      <c r="T69" s="15">
        <f>S69*(1-ClaimTerm)</f>
        <v>128.60624999999999</v>
      </c>
      <c r="U69" s="15">
        <f>T69*(1-ClaimTerm)</f>
        <v>122.17593749999999</v>
      </c>
      <c r="V69" s="15"/>
      <c r="W69" s="15"/>
      <c r="X69" s="15"/>
      <c r="Y69" s="15"/>
      <c r="Z69" s="15"/>
      <c r="AA69" s="15"/>
      <c r="AB69" s="15"/>
      <c r="AC69" s="15"/>
    </row>
    <row r="70" spans="4:29" x14ac:dyDescent="0.25">
      <c r="E70" s="3">
        <f t="shared" si="17"/>
        <v>12</v>
      </c>
      <c r="F70" s="82">
        <f t="shared" ca="1" si="16"/>
        <v>580.40971805117977</v>
      </c>
      <c r="G70" s="15"/>
      <c r="H70" s="15"/>
      <c r="I70" s="15"/>
      <c r="J70" s="15"/>
      <c r="K70" s="15"/>
      <c r="L70" s="15"/>
      <c r="M70" s="15"/>
      <c r="N70" s="15"/>
      <c r="O70" s="15"/>
      <c r="P70" s="15"/>
      <c r="Q70" s="15"/>
      <c r="R70" s="15">
        <v>170</v>
      </c>
      <c r="S70" s="15">
        <f>R70*(1-ClaimTerm)</f>
        <v>161.5</v>
      </c>
      <c r="T70" s="15">
        <f>S70*(1-ClaimTerm)</f>
        <v>153.42499999999998</v>
      </c>
      <c r="U70" s="15">
        <f>T70*(1-ClaimTerm)</f>
        <v>145.75374999999997</v>
      </c>
      <c r="V70" s="15"/>
      <c r="W70" s="15"/>
      <c r="X70" s="15"/>
      <c r="Y70" s="15"/>
      <c r="Z70" s="15"/>
      <c r="AA70" s="15"/>
      <c r="AB70" s="15"/>
      <c r="AC70" s="15"/>
    </row>
    <row r="71" spans="4:29" x14ac:dyDescent="0.25">
      <c r="E71" s="3">
        <f t="shared" si="17"/>
        <v>13</v>
      </c>
      <c r="F71" s="82">
        <f t="shared" ca="1" si="16"/>
        <v>560.07462673946702</v>
      </c>
      <c r="G71" s="15"/>
      <c r="H71" s="15"/>
      <c r="I71" s="15"/>
      <c r="J71" s="15"/>
      <c r="K71" s="15"/>
      <c r="L71" s="15"/>
      <c r="M71" s="15"/>
      <c r="N71" s="15"/>
      <c r="O71" s="15"/>
      <c r="P71" s="15"/>
      <c r="Q71" s="15"/>
      <c r="R71" s="15"/>
      <c r="S71" s="15">
        <f>'Update Assumptions'!S71</f>
        <v>210</v>
      </c>
      <c r="T71" s="15">
        <f>S71*(1-ClaimTerm)</f>
        <v>199.5</v>
      </c>
      <c r="U71" s="15">
        <f>T71*(1-ClaimTerm)</f>
        <v>189.52499999999998</v>
      </c>
      <c r="V71" s="15"/>
      <c r="W71" s="15"/>
      <c r="X71" s="15"/>
      <c r="Y71" s="15"/>
      <c r="Z71" s="15"/>
      <c r="AA71" s="15"/>
      <c r="AB71" s="15"/>
      <c r="AC71" s="15"/>
    </row>
    <row r="72" spans="4:29" x14ac:dyDescent="0.25">
      <c r="E72" s="3">
        <f t="shared" si="17"/>
        <v>14</v>
      </c>
      <c r="F72" s="82">
        <f t="shared" ca="1" si="16"/>
        <v>509.58015356251025</v>
      </c>
      <c r="G72" s="15"/>
      <c r="H72" s="15"/>
      <c r="I72" s="15"/>
      <c r="J72" s="15"/>
      <c r="K72" s="15"/>
      <c r="L72" s="15"/>
      <c r="M72" s="15"/>
      <c r="N72" s="15"/>
      <c r="O72" s="15"/>
      <c r="P72" s="15"/>
      <c r="Q72" s="15"/>
      <c r="R72" s="15"/>
      <c r="S72" s="15"/>
      <c r="T72" s="15">
        <f>'Update Assumptions'!T72</f>
        <v>275</v>
      </c>
      <c r="U72" s="15">
        <f>T72*(1-ClaimTerm)</f>
        <v>261.25</v>
      </c>
      <c r="V72" s="15"/>
      <c r="W72" s="15"/>
      <c r="X72" s="15"/>
      <c r="Y72" s="15"/>
      <c r="Z72" s="15"/>
      <c r="AA72" s="15"/>
      <c r="AB72" s="15"/>
      <c r="AC72" s="15"/>
    </row>
    <row r="73" spans="4:29" x14ac:dyDescent="0.25">
      <c r="E73" s="3">
        <f t="shared" si="17"/>
        <v>15</v>
      </c>
      <c r="F73" s="82">
        <f t="shared" ca="1" si="16"/>
        <v>386.47342995169083</v>
      </c>
      <c r="G73" s="15"/>
      <c r="H73" s="15"/>
      <c r="I73" s="15"/>
      <c r="J73" s="15"/>
      <c r="K73" s="15"/>
      <c r="L73" s="15"/>
      <c r="M73" s="15"/>
      <c r="N73" s="15"/>
      <c r="O73" s="15"/>
      <c r="P73" s="15"/>
      <c r="Q73" s="15"/>
      <c r="R73" s="15"/>
      <c r="S73" s="15"/>
      <c r="T73" s="15"/>
      <c r="U73" s="15">
        <f>'Update Assumptions'!U73</f>
        <v>400</v>
      </c>
      <c r="V73" s="15"/>
      <c r="W73" s="15"/>
      <c r="X73" s="15"/>
      <c r="Y73" s="15"/>
      <c r="Z73" s="15"/>
      <c r="AA73" s="15"/>
      <c r="AB73" s="15"/>
      <c r="AC73" s="15"/>
    </row>
    <row r="74" spans="4:29" x14ac:dyDescent="0.25">
      <c r="F74" s="15"/>
      <c r="G74" s="58"/>
      <c r="H74" s="58"/>
      <c r="I74" s="58"/>
      <c r="J74" s="58"/>
      <c r="K74" s="58"/>
      <c r="L74" s="58"/>
      <c r="M74" s="58"/>
      <c r="N74" s="58"/>
      <c r="O74" s="58"/>
      <c r="P74" s="58"/>
      <c r="Q74" s="58"/>
      <c r="R74" s="58"/>
      <c r="S74" s="58"/>
      <c r="T74" s="58"/>
    </row>
    <row r="75" spans="4:29" x14ac:dyDescent="0.25">
      <c r="D75" s="2" t="s">
        <v>40</v>
      </c>
      <c r="F75" s="15"/>
      <c r="G75" s="49" t="s">
        <v>16</v>
      </c>
      <c r="H75" s="58"/>
      <c r="I75" s="58"/>
      <c r="J75" s="58"/>
      <c r="K75" s="58"/>
      <c r="L75" s="58"/>
      <c r="M75" s="58"/>
      <c r="N75" s="58"/>
      <c r="O75" s="58"/>
      <c r="P75" s="58"/>
      <c r="Q75" s="58"/>
      <c r="R75" s="58"/>
      <c r="S75" s="58"/>
      <c r="T75" s="58"/>
    </row>
    <row r="76" spans="4:29" x14ac:dyDescent="0.25">
      <c r="E76" s="3" t="s">
        <v>12</v>
      </c>
      <c r="F76" s="53" t="s">
        <v>5</v>
      </c>
      <c r="G76" s="54">
        <v>1</v>
      </c>
      <c r="H76" s="54">
        <f>G76+1</f>
        <v>2</v>
      </c>
      <c r="I76" s="54">
        <f t="shared" ref="I76:U76" si="18">H76+1</f>
        <v>3</v>
      </c>
      <c r="J76" s="54">
        <f t="shared" si="18"/>
        <v>4</v>
      </c>
      <c r="K76" s="54">
        <f t="shared" si="18"/>
        <v>5</v>
      </c>
      <c r="L76" s="54">
        <f t="shared" si="18"/>
        <v>6</v>
      </c>
      <c r="M76" s="54">
        <f t="shared" si="18"/>
        <v>7</v>
      </c>
      <c r="N76" s="54">
        <f t="shared" si="18"/>
        <v>8</v>
      </c>
      <c r="O76" s="54">
        <f t="shared" si="18"/>
        <v>9</v>
      </c>
      <c r="P76" s="54">
        <f t="shared" si="18"/>
        <v>10</v>
      </c>
      <c r="Q76" s="54">
        <f t="shared" si="18"/>
        <v>11</v>
      </c>
      <c r="R76" s="54">
        <f t="shared" si="18"/>
        <v>12</v>
      </c>
      <c r="S76" s="54">
        <f t="shared" si="18"/>
        <v>13</v>
      </c>
      <c r="T76" s="54">
        <f t="shared" si="18"/>
        <v>14</v>
      </c>
      <c r="U76" s="54">
        <f t="shared" si="18"/>
        <v>15</v>
      </c>
    </row>
    <row r="77" spans="4:29" x14ac:dyDescent="0.25">
      <c r="E77" s="3">
        <v>1</v>
      </c>
      <c r="F77" s="82">
        <f t="shared" ref="F77:U91" ca="1" si="19">F59*$F41</f>
        <v>91231.597440082958</v>
      </c>
      <c r="G77" s="15">
        <f t="shared" si="19"/>
        <v>25000</v>
      </c>
      <c r="H77" s="15">
        <f t="shared" si="19"/>
        <v>21250</v>
      </c>
      <c r="I77" s="15">
        <f t="shared" si="19"/>
        <v>18062.5</v>
      </c>
      <c r="J77" s="15">
        <f t="shared" si="19"/>
        <v>18062.5</v>
      </c>
      <c r="K77" s="15">
        <f t="shared" si="19"/>
        <v>18062.5</v>
      </c>
      <c r="L77" s="15">
        <f t="shared" si="19"/>
        <v>0</v>
      </c>
      <c r="M77" s="15">
        <f t="shared" si="19"/>
        <v>0</v>
      </c>
      <c r="N77" s="15">
        <f t="shared" si="19"/>
        <v>0</v>
      </c>
      <c r="O77" s="15">
        <f t="shared" si="19"/>
        <v>0</v>
      </c>
      <c r="P77" s="15">
        <f t="shared" si="19"/>
        <v>0</v>
      </c>
      <c r="Q77" s="15">
        <f t="shared" si="19"/>
        <v>0</v>
      </c>
      <c r="R77" s="15">
        <f t="shared" si="19"/>
        <v>0</v>
      </c>
      <c r="S77" s="15">
        <f t="shared" si="19"/>
        <v>0</v>
      </c>
      <c r="T77" s="15">
        <f t="shared" si="19"/>
        <v>0</v>
      </c>
      <c r="U77" s="15">
        <f t="shared" si="19"/>
        <v>0</v>
      </c>
    </row>
    <row r="78" spans="4:29" x14ac:dyDescent="0.25">
      <c r="E78" s="3">
        <f>E77+1</f>
        <v>2</v>
      </c>
      <c r="F78" s="82">
        <f t="shared" ca="1" si="19"/>
        <v>140609.67322503772</v>
      </c>
      <c r="G78" s="15">
        <f t="shared" si="19"/>
        <v>0</v>
      </c>
      <c r="H78" s="15">
        <f t="shared" si="19"/>
        <v>35625</v>
      </c>
      <c r="I78" s="15">
        <f t="shared" si="19"/>
        <v>30281.25</v>
      </c>
      <c r="J78" s="15">
        <f t="shared" si="19"/>
        <v>30281.25</v>
      </c>
      <c r="K78" s="15">
        <f t="shared" si="19"/>
        <v>30281.25</v>
      </c>
      <c r="L78" s="15">
        <f t="shared" si="19"/>
        <v>28767.1875</v>
      </c>
      <c r="M78" s="15">
        <f t="shared" si="19"/>
        <v>0</v>
      </c>
      <c r="N78" s="15">
        <f t="shared" si="19"/>
        <v>0</v>
      </c>
      <c r="O78" s="15">
        <f t="shared" si="19"/>
        <v>0</v>
      </c>
      <c r="P78" s="15">
        <f t="shared" si="19"/>
        <v>0</v>
      </c>
      <c r="Q78" s="15">
        <f t="shared" si="19"/>
        <v>0</v>
      </c>
      <c r="R78" s="15">
        <f t="shared" si="19"/>
        <v>0</v>
      </c>
      <c r="S78" s="15">
        <f t="shared" si="19"/>
        <v>0</v>
      </c>
      <c r="T78" s="15">
        <f t="shared" si="19"/>
        <v>0</v>
      </c>
      <c r="U78" s="15">
        <f t="shared" si="19"/>
        <v>0</v>
      </c>
    </row>
    <row r="79" spans="4:29" x14ac:dyDescent="0.25">
      <c r="E79" s="3">
        <f t="shared" ref="E79:E91" si="20">E78+1</f>
        <v>3</v>
      </c>
      <c r="F79" s="82">
        <f t="shared" ca="1" si="19"/>
        <v>198071.12809930978</v>
      </c>
      <c r="G79" s="15">
        <f t="shared" si="19"/>
        <v>0</v>
      </c>
      <c r="H79" s="15">
        <f t="shared" si="19"/>
        <v>0</v>
      </c>
      <c r="I79" s="15">
        <f t="shared" si="19"/>
        <v>45125</v>
      </c>
      <c r="J79" s="15">
        <f t="shared" si="19"/>
        <v>45125</v>
      </c>
      <c r="K79" s="15">
        <f t="shared" si="19"/>
        <v>45125</v>
      </c>
      <c r="L79" s="15">
        <f t="shared" si="19"/>
        <v>42868.75</v>
      </c>
      <c r="M79" s="15">
        <f t="shared" si="19"/>
        <v>40725.3125</v>
      </c>
      <c r="N79" s="15">
        <f t="shared" si="19"/>
        <v>0</v>
      </c>
      <c r="O79" s="15">
        <f t="shared" si="19"/>
        <v>0</v>
      </c>
      <c r="P79" s="15">
        <f t="shared" si="19"/>
        <v>0</v>
      </c>
      <c r="Q79" s="15">
        <f t="shared" si="19"/>
        <v>0</v>
      </c>
      <c r="R79" s="15">
        <f t="shared" si="19"/>
        <v>0</v>
      </c>
      <c r="S79" s="15">
        <f t="shared" si="19"/>
        <v>0</v>
      </c>
      <c r="T79" s="15">
        <f t="shared" si="19"/>
        <v>0</v>
      </c>
      <c r="U79" s="15">
        <f t="shared" si="19"/>
        <v>0</v>
      </c>
    </row>
    <row r="80" spans="4:29" x14ac:dyDescent="0.25">
      <c r="E80" s="3">
        <f t="shared" si="20"/>
        <v>4</v>
      </c>
      <c r="F80" s="82">
        <f t="shared" ca="1" si="19"/>
        <v>228538.83632215488</v>
      </c>
      <c r="G80" s="15">
        <f t="shared" si="19"/>
        <v>0</v>
      </c>
      <c r="H80" s="15">
        <f t="shared" si="19"/>
        <v>0</v>
      </c>
      <c r="I80" s="15">
        <f t="shared" si="19"/>
        <v>0</v>
      </c>
      <c r="J80" s="15">
        <f t="shared" si="19"/>
        <v>53585.9375</v>
      </c>
      <c r="K80" s="15">
        <f t="shared" si="19"/>
        <v>53585.9375</v>
      </c>
      <c r="L80" s="15">
        <f t="shared" si="19"/>
        <v>50906.640625</v>
      </c>
      <c r="M80" s="15">
        <f t="shared" si="19"/>
        <v>48361.30859375</v>
      </c>
      <c r="N80" s="15">
        <f t="shared" si="19"/>
        <v>45943.2431640625</v>
      </c>
      <c r="O80" s="15">
        <f t="shared" si="19"/>
        <v>0</v>
      </c>
      <c r="P80" s="15">
        <f t="shared" si="19"/>
        <v>0</v>
      </c>
      <c r="Q80" s="15">
        <f t="shared" si="19"/>
        <v>0</v>
      </c>
      <c r="R80" s="15">
        <f t="shared" si="19"/>
        <v>0</v>
      </c>
      <c r="S80" s="15">
        <f t="shared" si="19"/>
        <v>0</v>
      </c>
      <c r="T80" s="15">
        <f t="shared" si="19"/>
        <v>0</v>
      </c>
      <c r="U80" s="15">
        <f t="shared" si="19"/>
        <v>0</v>
      </c>
    </row>
    <row r="81" spans="4:21" x14ac:dyDescent="0.25">
      <c r="E81" s="3">
        <f t="shared" si="20"/>
        <v>5</v>
      </c>
      <c r="F81" s="82">
        <f t="shared" ca="1" si="19"/>
        <v>250458.66933834297</v>
      </c>
      <c r="G81" s="15">
        <f t="shared" si="19"/>
        <v>0</v>
      </c>
      <c r="H81" s="15">
        <f t="shared" si="19"/>
        <v>0</v>
      </c>
      <c r="I81" s="15">
        <f t="shared" si="19"/>
        <v>0</v>
      </c>
      <c r="J81" s="15">
        <f t="shared" si="19"/>
        <v>0</v>
      </c>
      <c r="K81" s="15">
        <f t="shared" si="19"/>
        <v>61087.968749999993</v>
      </c>
      <c r="L81" s="15">
        <f t="shared" si="19"/>
        <v>58033.570312499993</v>
      </c>
      <c r="M81" s="15">
        <f t="shared" si="19"/>
        <v>55131.891796874996</v>
      </c>
      <c r="N81" s="15">
        <f t="shared" si="19"/>
        <v>52375.297207031239</v>
      </c>
      <c r="O81" s="15">
        <f t="shared" si="19"/>
        <v>49756.532346679676</v>
      </c>
      <c r="P81" s="15">
        <f t="shared" si="19"/>
        <v>0</v>
      </c>
      <c r="Q81" s="15">
        <f t="shared" si="19"/>
        <v>0</v>
      </c>
      <c r="R81" s="15">
        <f t="shared" si="19"/>
        <v>0</v>
      </c>
      <c r="S81" s="15">
        <f t="shared" si="19"/>
        <v>0</v>
      </c>
      <c r="T81" s="15">
        <f t="shared" si="19"/>
        <v>0</v>
      </c>
      <c r="U81" s="15">
        <f t="shared" si="19"/>
        <v>0</v>
      </c>
    </row>
    <row r="82" spans="4:21" x14ac:dyDescent="0.25">
      <c r="E82" s="3">
        <f t="shared" si="20"/>
        <v>6</v>
      </c>
      <c r="F82" s="82">
        <f t="shared" ca="1" si="19"/>
        <v>277591.6918499968</v>
      </c>
      <c r="G82" s="15">
        <f t="shared" si="19"/>
        <v>0</v>
      </c>
      <c r="H82" s="15">
        <f t="shared" si="19"/>
        <v>0</v>
      </c>
      <c r="I82" s="15">
        <f t="shared" si="19"/>
        <v>0</v>
      </c>
      <c r="J82" s="15">
        <f t="shared" si="19"/>
        <v>0</v>
      </c>
      <c r="K82" s="15">
        <f t="shared" si="19"/>
        <v>0</v>
      </c>
      <c r="L82" s="15">
        <f t="shared" si="19"/>
        <v>67705.832031249985</v>
      </c>
      <c r="M82" s="15">
        <f t="shared" si="19"/>
        <v>64320.540429687484</v>
      </c>
      <c r="N82" s="15">
        <f t="shared" si="19"/>
        <v>61104.513408203115</v>
      </c>
      <c r="O82" s="15">
        <f t="shared" si="19"/>
        <v>58049.287737792954</v>
      </c>
      <c r="P82" s="15">
        <f t="shared" si="19"/>
        <v>55146.823350903302</v>
      </c>
      <c r="Q82" s="15">
        <f t="shared" si="19"/>
        <v>0</v>
      </c>
      <c r="R82" s="15">
        <f t="shared" si="19"/>
        <v>0</v>
      </c>
      <c r="S82" s="15">
        <f t="shared" si="19"/>
        <v>0</v>
      </c>
      <c r="T82" s="15">
        <f t="shared" si="19"/>
        <v>0</v>
      </c>
      <c r="U82" s="15">
        <f t="shared" si="19"/>
        <v>0</v>
      </c>
    </row>
    <row r="83" spans="4:21" x14ac:dyDescent="0.25">
      <c r="E83" s="3">
        <f t="shared" si="20"/>
        <v>7</v>
      </c>
      <c r="F83" s="82">
        <f t="shared" ca="1" si="19"/>
        <v>301385.26543713931</v>
      </c>
      <c r="G83" s="15">
        <f t="shared" si="19"/>
        <v>0</v>
      </c>
      <c r="H83" s="15">
        <f t="shared" si="19"/>
        <v>0</v>
      </c>
      <c r="I83" s="15">
        <f t="shared" si="19"/>
        <v>0</v>
      </c>
      <c r="J83" s="15">
        <f t="shared" si="19"/>
        <v>0</v>
      </c>
      <c r="K83" s="15">
        <f t="shared" si="19"/>
        <v>0</v>
      </c>
      <c r="L83" s="15">
        <f t="shared" si="19"/>
        <v>0</v>
      </c>
      <c r="M83" s="15">
        <f t="shared" si="19"/>
        <v>73509.18906249998</v>
      </c>
      <c r="N83" s="15">
        <f t="shared" si="19"/>
        <v>69833.729609374976</v>
      </c>
      <c r="O83" s="15">
        <f t="shared" si="19"/>
        <v>66342.043128906225</v>
      </c>
      <c r="P83" s="15">
        <f t="shared" si="19"/>
        <v>63024.940972460914</v>
      </c>
      <c r="Q83" s="15">
        <f t="shared" si="19"/>
        <v>59873.693923837862</v>
      </c>
      <c r="R83" s="15">
        <f t="shared" si="19"/>
        <v>0</v>
      </c>
      <c r="S83" s="15">
        <f t="shared" si="19"/>
        <v>0</v>
      </c>
      <c r="T83" s="15">
        <f t="shared" si="19"/>
        <v>0</v>
      </c>
      <c r="U83" s="15">
        <f t="shared" si="19"/>
        <v>0</v>
      </c>
    </row>
    <row r="84" spans="4:21" x14ac:dyDescent="0.25">
      <c r="E84" s="3">
        <f t="shared" si="20"/>
        <v>8</v>
      </c>
      <c r="F84" s="82">
        <f t="shared" ca="1" si="19"/>
        <v>322105.50243594259</v>
      </c>
      <c r="G84" s="15">
        <f t="shared" si="19"/>
        <v>0</v>
      </c>
      <c r="H84" s="15">
        <f t="shared" si="19"/>
        <v>0</v>
      </c>
      <c r="I84" s="15">
        <f t="shared" si="19"/>
        <v>0</v>
      </c>
      <c r="J84" s="15">
        <f t="shared" si="19"/>
        <v>0</v>
      </c>
      <c r="K84" s="15">
        <f t="shared" si="19"/>
        <v>0</v>
      </c>
      <c r="L84" s="15">
        <f t="shared" si="19"/>
        <v>0</v>
      </c>
      <c r="M84" s="15">
        <f t="shared" si="19"/>
        <v>0</v>
      </c>
      <c r="N84" s="15">
        <f t="shared" si="19"/>
        <v>78562.945810546851</v>
      </c>
      <c r="O84" s="15">
        <f t="shared" si="19"/>
        <v>74634.798520019496</v>
      </c>
      <c r="P84" s="15">
        <f t="shared" si="19"/>
        <v>70903.058594018526</v>
      </c>
      <c r="Q84" s="15">
        <f t="shared" si="19"/>
        <v>67357.905664317601</v>
      </c>
      <c r="R84" s="15">
        <f t="shared" si="19"/>
        <v>63990.010381101711</v>
      </c>
      <c r="S84" s="15">
        <f t="shared" si="19"/>
        <v>0</v>
      </c>
      <c r="T84" s="15">
        <f t="shared" si="19"/>
        <v>0</v>
      </c>
      <c r="U84" s="15">
        <f t="shared" si="19"/>
        <v>0</v>
      </c>
    </row>
    <row r="85" spans="4:21" x14ac:dyDescent="0.25">
      <c r="E85" s="3">
        <f t="shared" si="20"/>
        <v>9</v>
      </c>
      <c r="F85" s="82">
        <f t="shared" ca="1" si="19"/>
        <v>340000.25257127272</v>
      </c>
      <c r="G85" s="15">
        <f t="shared" si="19"/>
        <v>0</v>
      </c>
      <c r="H85" s="15">
        <f t="shared" si="19"/>
        <v>0</v>
      </c>
      <c r="I85" s="15">
        <f t="shared" si="19"/>
        <v>0</v>
      </c>
      <c r="J85" s="15">
        <f t="shared" si="19"/>
        <v>0</v>
      </c>
      <c r="K85" s="15">
        <f t="shared" si="19"/>
        <v>0</v>
      </c>
      <c r="L85" s="15">
        <f t="shared" si="19"/>
        <v>0</v>
      </c>
      <c r="M85" s="15">
        <f t="shared" si="19"/>
        <v>0</v>
      </c>
      <c r="N85" s="15">
        <f t="shared" si="19"/>
        <v>0</v>
      </c>
      <c r="O85" s="15">
        <f t="shared" si="19"/>
        <v>82927.553911132782</v>
      </c>
      <c r="P85" s="15">
        <f t="shared" si="19"/>
        <v>78781.176215576139</v>
      </c>
      <c r="Q85" s="15">
        <f t="shared" si="19"/>
        <v>74842.117404797333</v>
      </c>
      <c r="R85" s="15">
        <f t="shared" si="19"/>
        <v>71100.01153455746</v>
      </c>
      <c r="S85" s="15">
        <f t="shared" si="19"/>
        <v>67545.010957829581</v>
      </c>
      <c r="T85" s="15">
        <f t="shared" si="19"/>
        <v>0</v>
      </c>
      <c r="U85" s="15">
        <f t="shared" si="19"/>
        <v>0</v>
      </c>
    </row>
    <row r="86" spans="4:21" x14ac:dyDescent="0.25">
      <c r="E86" s="3">
        <f t="shared" si="20"/>
        <v>10</v>
      </c>
      <c r="F86" s="82">
        <f t="shared" ca="1" si="19"/>
        <v>355300.2639369801</v>
      </c>
      <c r="G86" s="15">
        <f t="shared" si="19"/>
        <v>0</v>
      </c>
      <c r="H86" s="15">
        <f t="shared" si="19"/>
        <v>0</v>
      </c>
      <c r="I86" s="15">
        <f t="shared" si="19"/>
        <v>0</v>
      </c>
      <c r="J86" s="15">
        <f t="shared" si="19"/>
        <v>0</v>
      </c>
      <c r="K86" s="15">
        <f t="shared" si="19"/>
        <v>0</v>
      </c>
      <c r="L86" s="15">
        <f t="shared" si="19"/>
        <v>0</v>
      </c>
      <c r="M86" s="15">
        <f t="shared" si="19"/>
        <v>0</v>
      </c>
      <c r="N86" s="15">
        <f t="shared" si="19"/>
        <v>0</v>
      </c>
      <c r="O86" s="15">
        <f t="shared" si="19"/>
        <v>0</v>
      </c>
      <c r="P86" s="15">
        <f t="shared" si="19"/>
        <v>86659.293837133795</v>
      </c>
      <c r="Q86" s="15">
        <f t="shared" si="19"/>
        <v>82326.329145277094</v>
      </c>
      <c r="R86" s="15">
        <f t="shared" si="19"/>
        <v>78210.012688013245</v>
      </c>
      <c r="S86" s="15">
        <f t="shared" si="19"/>
        <v>74299.512053612576</v>
      </c>
      <c r="T86" s="15">
        <f t="shared" si="19"/>
        <v>70584.536450931933</v>
      </c>
      <c r="U86" s="15">
        <f t="shared" si="19"/>
        <v>0</v>
      </c>
    </row>
    <row r="87" spans="4:21" x14ac:dyDescent="0.25">
      <c r="E87" s="3">
        <f t="shared" si="20"/>
        <v>11</v>
      </c>
      <c r="F87" s="82">
        <f t="shared" ca="1" si="19"/>
        <v>368220.2735346884</v>
      </c>
      <c r="G87" s="15">
        <f t="shared" si="19"/>
        <v>0</v>
      </c>
      <c r="H87" s="15">
        <f t="shared" si="19"/>
        <v>0</v>
      </c>
      <c r="I87" s="15">
        <f t="shared" si="19"/>
        <v>0</v>
      </c>
      <c r="J87" s="15">
        <f t="shared" si="19"/>
        <v>0</v>
      </c>
      <c r="K87" s="15">
        <f t="shared" si="19"/>
        <v>0</v>
      </c>
      <c r="L87" s="15">
        <f t="shared" si="19"/>
        <v>0</v>
      </c>
      <c r="M87" s="15">
        <f t="shared" si="19"/>
        <v>0</v>
      </c>
      <c r="N87" s="15">
        <f t="shared" si="19"/>
        <v>0</v>
      </c>
      <c r="O87" s="15">
        <f t="shared" si="19"/>
        <v>0</v>
      </c>
      <c r="P87" s="15">
        <f t="shared" si="19"/>
        <v>0</v>
      </c>
      <c r="Q87" s="15">
        <f t="shared" si="19"/>
        <v>89810.540885756796</v>
      </c>
      <c r="R87" s="15">
        <f t="shared" si="19"/>
        <v>85320.013841468957</v>
      </c>
      <c r="S87" s="15">
        <f t="shared" si="19"/>
        <v>81054.013149395512</v>
      </c>
      <c r="T87" s="15">
        <f t="shared" si="19"/>
        <v>77001.312491925724</v>
      </c>
      <c r="U87" s="15">
        <f t="shared" si="19"/>
        <v>73151.24686732945</v>
      </c>
    </row>
    <row r="88" spans="4:21" x14ac:dyDescent="0.25">
      <c r="E88" s="3">
        <f t="shared" si="20"/>
        <v>12</v>
      </c>
      <c r="F88" s="82">
        <f t="shared" ca="1" si="19"/>
        <v>330137.101185665</v>
      </c>
      <c r="G88" s="15">
        <f t="shared" si="19"/>
        <v>0</v>
      </c>
      <c r="H88" s="15">
        <f t="shared" si="19"/>
        <v>0</v>
      </c>
      <c r="I88" s="15">
        <f t="shared" si="19"/>
        <v>0</v>
      </c>
      <c r="J88" s="15">
        <f t="shared" si="19"/>
        <v>0</v>
      </c>
      <c r="K88" s="15">
        <f t="shared" si="19"/>
        <v>0</v>
      </c>
      <c r="L88" s="15">
        <f t="shared" si="19"/>
        <v>0</v>
      </c>
      <c r="M88" s="15">
        <f t="shared" si="19"/>
        <v>0</v>
      </c>
      <c r="N88" s="15">
        <f t="shared" si="19"/>
        <v>0</v>
      </c>
      <c r="O88" s="15">
        <f t="shared" si="19"/>
        <v>0</v>
      </c>
      <c r="P88" s="15">
        <f t="shared" si="19"/>
        <v>0</v>
      </c>
      <c r="Q88" s="15">
        <f t="shared" si="19"/>
        <v>0</v>
      </c>
      <c r="R88" s="15">
        <f t="shared" si="19"/>
        <v>96696.015686998158</v>
      </c>
      <c r="S88" s="15">
        <f t="shared" si="19"/>
        <v>91861.214902648251</v>
      </c>
      <c r="T88" s="15">
        <f t="shared" si="19"/>
        <v>87268.154157515819</v>
      </c>
      <c r="U88" s="15">
        <f t="shared" si="19"/>
        <v>82904.746449640021</v>
      </c>
    </row>
    <row r="89" spans="4:21" x14ac:dyDescent="0.25">
      <c r="E89" s="3">
        <f t="shared" si="20"/>
        <v>13</v>
      </c>
      <c r="F89" s="82">
        <f t="shared" ca="1" si="19"/>
        <v>302641.97440255695</v>
      </c>
      <c r="G89" s="15">
        <f t="shared" si="19"/>
        <v>0</v>
      </c>
      <c r="H89" s="15">
        <f t="shared" si="19"/>
        <v>0</v>
      </c>
      <c r="I89" s="15">
        <f t="shared" si="19"/>
        <v>0</v>
      </c>
      <c r="J89" s="15">
        <f t="shared" si="19"/>
        <v>0</v>
      </c>
      <c r="K89" s="15">
        <f t="shared" si="19"/>
        <v>0</v>
      </c>
      <c r="L89" s="15">
        <f t="shared" si="19"/>
        <v>0</v>
      </c>
      <c r="M89" s="15">
        <f t="shared" si="19"/>
        <v>0</v>
      </c>
      <c r="N89" s="15">
        <f t="shared" si="19"/>
        <v>0</v>
      </c>
      <c r="O89" s="15">
        <f t="shared" si="19"/>
        <v>0</v>
      </c>
      <c r="P89" s="15">
        <f t="shared" si="19"/>
        <v>0</v>
      </c>
      <c r="Q89" s="15">
        <f t="shared" si="19"/>
        <v>0</v>
      </c>
      <c r="R89" s="15">
        <f t="shared" si="19"/>
        <v>0</v>
      </c>
      <c r="S89" s="15">
        <f t="shared" si="19"/>
        <v>113475.61840915371</v>
      </c>
      <c r="T89" s="15">
        <f t="shared" si="19"/>
        <v>107801.83748869602</v>
      </c>
      <c r="U89" s="15">
        <f t="shared" si="19"/>
        <v>102411.74561426121</v>
      </c>
    </row>
    <row r="90" spans="4:21" x14ac:dyDescent="0.25">
      <c r="E90" s="3">
        <f t="shared" si="20"/>
        <v>14</v>
      </c>
      <c r="F90" s="82">
        <f t="shared" ca="1" si="19"/>
        <v>261588.93762766902</v>
      </c>
      <c r="G90" s="15">
        <f t="shared" si="19"/>
        <v>0</v>
      </c>
      <c r="H90" s="15">
        <f t="shared" si="19"/>
        <v>0</v>
      </c>
      <c r="I90" s="15">
        <f t="shared" si="19"/>
        <v>0</v>
      </c>
      <c r="J90" s="15">
        <f t="shared" si="19"/>
        <v>0</v>
      </c>
      <c r="K90" s="15">
        <f t="shared" si="19"/>
        <v>0</v>
      </c>
      <c r="L90" s="15">
        <f t="shared" si="19"/>
        <v>0</v>
      </c>
      <c r="M90" s="15">
        <f t="shared" si="19"/>
        <v>0</v>
      </c>
      <c r="N90" s="15">
        <f t="shared" si="19"/>
        <v>0</v>
      </c>
      <c r="O90" s="15">
        <f t="shared" si="19"/>
        <v>0</v>
      </c>
      <c r="P90" s="15">
        <f t="shared" si="19"/>
        <v>0</v>
      </c>
      <c r="Q90" s="15">
        <f t="shared" si="19"/>
        <v>0</v>
      </c>
      <c r="R90" s="15">
        <f t="shared" si="19"/>
        <v>0</v>
      </c>
      <c r="S90" s="15">
        <f t="shared" si="19"/>
        <v>0</v>
      </c>
      <c r="T90" s="15">
        <f t="shared" si="19"/>
        <v>141169.07290186384</v>
      </c>
      <c r="U90" s="15">
        <f t="shared" si="19"/>
        <v>134110.61925677065</v>
      </c>
    </row>
    <row r="91" spans="4:21" x14ac:dyDescent="0.25">
      <c r="E91" s="3">
        <f t="shared" si="20"/>
        <v>15</v>
      </c>
      <c r="F91" s="82">
        <f t="shared" ca="1" si="19"/>
        <v>188473.42188039792</v>
      </c>
      <c r="G91" s="15">
        <f t="shared" si="19"/>
        <v>0</v>
      </c>
      <c r="H91" s="15">
        <f t="shared" si="19"/>
        <v>0</v>
      </c>
      <c r="I91" s="15">
        <f t="shared" si="19"/>
        <v>0</v>
      </c>
      <c r="J91" s="15">
        <f t="shared" si="19"/>
        <v>0</v>
      </c>
      <c r="K91" s="15">
        <f t="shared" si="19"/>
        <v>0</v>
      </c>
      <c r="L91" s="15">
        <f t="shared" si="19"/>
        <v>0</v>
      </c>
      <c r="M91" s="15">
        <f t="shared" si="19"/>
        <v>0</v>
      </c>
      <c r="N91" s="15">
        <f t="shared" si="19"/>
        <v>0</v>
      </c>
      <c r="O91" s="15">
        <f t="shared" si="19"/>
        <v>0</v>
      </c>
      <c r="P91" s="15">
        <f t="shared" si="19"/>
        <v>0</v>
      </c>
      <c r="Q91" s="15">
        <f t="shared" si="19"/>
        <v>0</v>
      </c>
      <c r="R91" s="15">
        <f t="shared" si="19"/>
        <v>0</v>
      </c>
      <c r="S91" s="15">
        <f t="shared" si="19"/>
        <v>0</v>
      </c>
      <c r="T91" s="15">
        <f t="shared" si="19"/>
        <v>0</v>
      </c>
      <c r="U91" s="15">
        <f t="shared" si="19"/>
        <v>195069.99164621183</v>
      </c>
    </row>
    <row r="92" spans="4:21" x14ac:dyDescent="0.25">
      <c r="E92" s="64" t="s">
        <v>4</v>
      </c>
      <c r="F92" s="65"/>
      <c r="G92" s="65">
        <f>SUM(G77:G91)</f>
        <v>25000</v>
      </c>
      <c r="H92" s="65">
        <f t="shared" ref="H92:U92" si="21">SUM(H77:H91)</f>
        <v>56875</v>
      </c>
      <c r="I92" s="65">
        <f t="shared" si="21"/>
        <v>93468.75</v>
      </c>
      <c r="J92" s="65">
        <f t="shared" si="21"/>
        <v>147054.6875</v>
      </c>
      <c r="K92" s="65">
        <f t="shared" si="21"/>
        <v>208142.65625</v>
      </c>
      <c r="L92" s="65">
        <f t="shared" si="21"/>
        <v>248281.98046875</v>
      </c>
      <c r="M92" s="65">
        <f t="shared" si="21"/>
        <v>282048.24238281243</v>
      </c>
      <c r="N92" s="65">
        <f t="shared" si="21"/>
        <v>307819.72919921868</v>
      </c>
      <c r="O92" s="65">
        <f t="shared" si="21"/>
        <v>331710.21564453113</v>
      </c>
      <c r="P92" s="65">
        <f t="shared" si="21"/>
        <v>354515.29297009268</v>
      </c>
      <c r="Q92" s="65">
        <f t="shared" si="21"/>
        <v>374210.58702398668</v>
      </c>
      <c r="R92" s="65">
        <f t="shared" si="21"/>
        <v>395316.06413213949</v>
      </c>
      <c r="S92" s="65">
        <f t="shared" si="21"/>
        <v>428235.36947263964</v>
      </c>
      <c r="T92" s="65">
        <f t="shared" si="21"/>
        <v>483824.91349093331</v>
      </c>
      <c r="U92" s="65">
        <f t="shared" si="21"/>
        <v>587648.34983421315</v>
      </c>
    </row>
    <row r="94" spans="4:21" x14ac:dyDescent="0.25">
      <c r="D94" s="2" t="s">
        <v>41</v>
      </c>
      <c r="G94" s="49" t="s">
        <v>16</v>
      </c>
      <c r="H94" s="58"/>
      <c r="I94" s="58"/>
      <c r="J94" s="58"/>
      <c r="K94" s="58"/>
      <c r="L94" s="58"/>
      <c r="M94" s="58"/>
      <c r="N94" s="58"/>
      <c r="O94" s="58"/>
      <c r="P94" s="58"/>
      <c r="Q94" s="58"/>
      <c r="R94" s="58"/>
      <c r="S94" s="58"/>
    </row>
    <row r="95" spans="4:21" x14ac:dyDescent="0.25">
      <c r="E95" s="3" t="s">
        <v>12</v>
      </c>
      <c r="G95" s="54">
        <v>1</v>
      </c>
      <c r="H95" s="54">
        <f>G95+1</f>
        <v>2</v>
      </c>
      <c r="I95" s="54">
        <f t="shared" ref="I95:U95" si="22">H95+1</f>
        <v>3</v>
      </c>
      <c r="J95" s="54">
        <f t="shared" si="22"/>
        <v>4</v>
      </c>
      <c r="K95" s="54">
        <f t="shared" si="22"/>
        <v>5</v>
      </c>
      <c r="L95" s="54">
        <f t="shared" si="22"/>
        <v>6</v>
      </c>
      <c r="M95" s="54">
        <f t="shared" si="22"/>
        <v>7</v>
      </c>
      <c r="N95" s="54">
        <f t="shared" si="22"/>
        <v>8</v>
      </c>
      <c r="O95" s="54">
        <f t="shared" si="22"/>
        <v>9</v>
      </c>
      <c r="P95" s="54">
        <f t="shared" si="22"/>
        <v>10</v>
      </c>
      <c r="Q95" s="54">
        <f t="shared" si="22"/>
        <v>11</v>
      </c>
      <c r="R95" s="54">
        <f t="shared" si="22"/>
        <v>12</v>
      </c>
      <c r="S95" s="54">
        <f t="shared" si="22"/>
        <v>13</v>
      </c>
      <c r="T95" s="54">
        <f t="shared" si="22"/>
        <v>14</v>
      </c>
      <c r="U95" s="54">
        <f t="shared" si="22"/>
        <v>15</v>
      </c>
    </row>
    <row r="96" spans="4:21" x14ac:dyDescent="0.25">
      <c r="E96" s="3">
        <v>1</v>
      </c>
      <c r="G96" s="83">
        <f>'Base Case'!G97</f>
        <v>62613.034328825532</v>
      </c>
      <c r="H96" s="83">
        <f>'Base Case'!H97</f>
        <v>43554.490530334428</v>
      </c>
      <c r="I96" s="83">
        <f>'Base Case'!I97</f>
        <v>27016.397698896126</v>
      </c>
      <c r="J96" s="89">
        <f>'Claims Shock'!J96</f>
        <v>14833.937198067633</v>
      </c>
      <c r="K96" s="101">
        <f>'Update Assumptions'!K96</f>
        <v>0</v>
      </c>
      <c r="L96" s="15">
        <f t="shared" ref="L96:L110" si="23">IF(L77=0,0,NPV(DiscountRate,M77:P77))</f>
        <v>0</v>
      </c>
      <c r="M96" s="15">
        <f t="shared" ref="M96:M110" si="24">IF(M77=0,0,NPV(DiscountRate,N77:Q77))</f>
        <v>0</v>
      </c>
      <c r="N96" s="15">
        <f t="shared" ref="N96:N110" si="25">IF(N77=0,0,NPV(DiscountRate,O77:R77))</f>
        <v>0</v>
      </c>
      <c r="O96" s="15">
        <f t="shared" ref="O96:O110" si="26">IF(O77=0,0,NPV(DiscountRate,P77:S77))</f>
        <v>0</v>
      </c>
      <c r="P96" s="15">
        <f t="shared" ref="P96:P110" si="27">IF(P77=0,0,NPV(DiscountRate,Q77:T77))</f>
        <v>0</v>
      </c>
      <c r="Q96" s="15">
        <f t="shared" ref="Q96:Q110" si="28">IF(Q77=0,0,NPV(DiscountRate,R77:U77))</f>
        <v>0</v>
      </c>
      <c r="R96" s="15">
        <f t="shared" ref="R96:R110" si="29">IF(R77=0,0,NPV(DiscountRate,S77:V77))</f>
        <v>0</v>
      </c>
      <c r="S96" s="15">
        <f t="shared" ref="S96:S110" si="30">IF(S77=0,0,NPV(DiscountRate,T77:W77))</f>
        <v>0</v>
      </c>
      <c r="T96" s="15">
        <f t="shared" ref="T96:T110" si="31">IF(T77=0,0,NPV(DiscountRate,U77:X77))</f>
        <v>0</v>
      </c>
      <c r="U96" s="15">
        <f t="shared" ref="U96:U110" si="32">IF(U77=0,0,NPV(DiscountRate,V77:Y77))</f>
        <v>0</v>
      </c>
    </row>
    <row r="97" spans="5:21" x14ac:dyDescent="0.25">
      <c r="E97" s="3">
        <f>E96+1</f>
        <v>2</v>
      </c>
      <c r="G97" s="83">
        <f>'Base Case'!G98</f>
        <v>0</v>
      </c>
      <c r="H97" s="83">
        <f>'Base Case'!H98</f>
        <v>89223.573918576381</v>
      </c>
      <c r="I97" s="83">
        <f>'Base Case'!I98</f>
        <v>62065.149005726555</v>
      </c>
      <c r="J97" s="89">
        <f>'Claims Shock'!J97</f>
        <v>45292.196142267036</v>
      </c>
      <c r="K97" s="101">
        <f>'Update Assumptions'!K97</f>
        <v>27794.384057971016</v>
      </c>
      <c r="L97" s="15">
        <f t="shared" si="23"/>
        <v>0</v>
      </c>
      <c r="M97" s="15">
        <f t="shared" si="24"/>
        <v>0</v>
      </c>
      <c r="N97" s="15">
        <f t="shared" si="25"/>
        <v>0</v>
      </c>
      <c r="O97" s="15">
        <f t="shared" si="26"/>
        <v>0</v>
      </c>
      <c r="P97" s="15">
        <f t="shared" si="27"/>
        <v>0</v>
      </c>
      <c r="Q97" s="15">
        <f t="shared" si="28"/>
        <v>0</v>
      </c>
      <c r="R97" s="15">
        <f t="shared" si="29"/>
        <v>0</v>
      </c>
      <c r="S97" s="15">
        <f t="shared" si="30"/>
        <v>0</v>
      </c>
      <c r="T97" s="15">
        <f t="shared" si="31"/>
        <v>0</v>
      </c>
      <c r="U97" s="15">
        <f t="shared" si="32"/>
        <v>0</v>
      </c>
    </row>
    <row r="98" spans="5:21" x14ac:dyDescent="0.25">
      <c r="E98" s="3">
        <f t="shared" ref="E98:E110" si="33">E97+1</f>
        <v>3</v>
      </c>
      <c r="G98" s="83">
        <f>'Base Case'!G99</f>
        <v>0</v>
      </c>
      <c r="H98" s="83">
        <f>'Base Case'!H99</f>
        <v>0</v>
      </c>
      <c r="I98" s="83">
        <f>'Base Case'!I99</f>
        <v>113016.52696353009</v>
      </c>
      <c r="J98" s="89">
        <f>'Claims Shock'!J98</f>
        <v>92489.241655592516</v>
      </c>
      <c r="K98" s="101">
        <f>'Update Assumptions'!K98</f>
        <v>79436.597120119492</v>
      </c>
      <c r="L98" s="15">
        <f t="shared" si="23"/>
        <v>39348.128019323674</v>
      </c>
      <c r="M98" s="15">
        <f t="shared" si="24"/>
        <v>0</v>
      </c>
      <c r="N98" s="15">
        <f t="shared" si="25"/>
        <v>0</v>
      </c>
      <c r="O98" s="15">
        <f t="shared" si="26"/>
        <v>0</v>
      </c>
      <c r="P98" s="15">
        <f t="shared" si="27"/>
        <v>0</v>
      </c>
      <c r="Q98" s="15">
        <f t="shared" si="28"/>
        <v>0</v>
      </c>
      <c r="R98" s="15">
        <f t="shared" si="29"/>
        <v>0</v>
      </c>
      <c r="S98" s="15">
        <f t="shared" si="30"/>
        <v>0</v>
      </c>
      <c r="T98" s="15">
        <f t="shared" si="31"/>
        <v>0</v>
      </c>
      <c r="U98" s="15">
        <f t="shared" si="32"/>
        <v>0</v>
      </c>
    </row>
    <row r="99" spans="5:21" x14ac:dyDescent="0.25">
      <c r="E99" s="3">
        <f t="shared" si="33"/>
        <v>4</v>
      </c>
      <c r="G99" s="83">
        <f>'Base Case'!G100</f>
        <v>0</v>
      </c>
      <c r="H99" s="83">
        <f>'Base Case'!H100</f>
        <v>0</v>
      </c>
      <c r="I99" s="83">
        <f>'Base Case'!I100</f>
        <v>0</v>
      </c>
      <c r="J99" s="89">
        <f>'Claims Shock'!J99</f>
        <v>134207.125769192</v>
      </c>
      <c r="K99" s="101">
        <f>'Update Assumptions'!K99</f>
        <v>135769.13212670031</v>
      </c>
      <c r="L99" s="15">
        <f t="shared" si="23"/>
        <v>89614.411126134801</v>
      </c>
      <c r="M99" s="15">
        <f t="shared" si="24"/>
        <v>44389.606921799517</v>
      </c>
      <c r="N99" s="15">
        <f t="shared" si="25"/>
        <v>0</v>
      </c>
      <c r="O99" s="15">
        <f t="shared" si="26"/>
        <v>0</v>
      </c>
      <c r="P99" s="15">
        <f t="shared" si="27"/>
        <v>0</v>
      </c>
      <c r="Q99" s="15">
        <f t="shared" si="28"/>
        <v>0</v>
      </c>
      <c r="R99" s="15">
        <f t="shared" si="29"/>
        <v>0</v>
      </c>
      <c r="S99" s="15">
        <f t="shared" si="30"/>
        <v>0</v>
      </c>
      <c r="T99" s="15">
        <f t="shared" si="31"/>
        <v>0</v>
      </c>
      <c r="U99" s="15">
        <f t="shared" si="32"/>
        <v>0</v>
      </c>
    </row>
    <row r="100" spans="5:21" x14ac:dyDescent="0.25">
      <c r="E100" s="3">
        <f t="shared" si="33"/>
        <v>5</v>
      </c>
      <c r="G100" s="83">
        <f>'Base Case'!G101</f>
        <v>0</v>
      </c>
      <c r="H100" s="83">
        <f>'Base Case'!H101</f>
        <v>0</v>
      </c>
      <c r="I100" s="83">
        <f>'Base Case'!I101</f>
        <v>0</v>
      </c>
      <c r="J100" s="89">
        <f>'Claims Shock'!J100</f>
        <v>0</v>
      </c>
      <c r="K100" s="101">
        <f>'Update Assumptions'!K100</f>
        <v>198136.75401518494</v>
      </c>
      <c r="L100" s="15">
        <f t="shared" si="23"/>
        <v>147037.9700932164</v>
      </c>
      <c r="M100" s="15">
        <f t="shared" si="24"/>
        <v>97052.407249603973</v>
      </c>
      <c r="N100" s="15">
        <f t="shared" si="25"/>
        <v>48073.944296308873</v>
      </c>
      <c r="O100" s="15">
        <f t="shared" si="26"/>
        <v>0</v>
      </c>
      <c r="P100" s="15">
        <f t="shared" si="27"/>
        <v>0</v>
      </c>
      <c r="Q100" s="15">
        <f t="shared" si="28"/>
        <v>0</v>
      </c>
      <c r="R100" s="15">
        <f t="shared" si="29"/>
        <v>0</v>
      </c>
      <c r="S100" s="15">
        <f t="shared" si="30"/>
        <v>0</v>
      </c>
      <c r="T100" s="15">
        <f t="shared" si="31"/>
        <v>0</v>
      </c>
      <c r="U100" s="15">
        <f t="shared" si="32"/>
        <v>0</v>
      </c>
    </row>
    <row r="101" spans="5:21" x14ac:dyDescent="0.25">
      <c r="E101" s="3">
        <f t="shared" si="33"/>
        <v>6</v>
      </c>
      <c r="G101" s="83">
        <f>'Base Case'!G102</f>
        <v>0</v>
      </c>
      <c r="H101" s="83">
        <f>'Base Case'!H102</f>
        <v>0</v>
      </c>
      <c r="I101" s="83">
        <f>'Base Case'!I102</f>
        <v>0</v>
      </c>
      <c r="J101" s="89">
        <f>'Claims Shock'!J101</f>
        <v>0</v>
      </c>
      <c r="K101" s="101">
        <f>'Update Assumptions'!K101</f>
        <v>0</v>
      </c>
      <c r="L101" s="15">
        <f t="shared" si="23"/>
        <v>219601.56903349663</v>
      </c>
      <c r="M101" s="15">
        <f t="shared" si="24"/>
        <v>162967.0835199815</v>
      </c>
      <c r="N101" s="15">
        <f t="shared" si="25"/>
        <v>107566.41803497773</v>
      </c>
      <c r="O101" s="15">
        <f t="shared" si="26"/>
        <v>53281.954928408988</v>
      </c>
      <c r="P101" s="15">
        <f t="shared" si="27"/>
        <v>0</v>
      </c>
      <c r="Q101" s="15">
        <f t="shared" si="28"/>
        <v>0</v>
      </c>
      <c r="R101" s="15">
        <f t="shared" si="29"/>
        <v>0</v>
      </c>
      <c r="S101" s="15">
        <f t="shared" si="30"/>
        <v>0</v>
      </c>
      <c r="T101" s="15">
        <f t="shared" si="31"/>
        <v>0</v>
      </c>
      <c r="U101" s="15">
        <f t="shared" si="32"/>
        <v>0</v>
      </c>
    </row>
    <row r="102" spans="5:21" x14ac:dyDescent="0.25">
      <c r="E102" s="3">
        <f t="shared" si="33"/>
        <v>7</v>
      </c>
      <c r="G102" s="83">
        <f>'Base Case'!G103</f>
        <v>0</v>
      </c>
      <c r="H102" s="83">
        <f>'Base Case'!H103</f>
        <v>0</v>
      </c>
      <c r="I102" s="83">
        <f>'Base Case'!I103</f>
        <v>0</v>
      </c>
      <c r="J102" s="89">
        <f>'Claims Shock'!J102</f>
        <v>0</v>
      </c>
      <c r="K102" s="101">
        <f>'Update Assumptions'!K102</f>
        <v>0</v>
      </c>
      <c r="L102" s="15">
        <f t="shared" si="23"/>
        <v>0</v>
      </c>
      <c r="M102" s="15">
        <f t="shared" si="24"/>
        <v>238424.56066493917</v>
      </c>
      <c r="N102" s="15">
        <f t="shared" si="25"/>
        <v>176935.69067883704</v>
      </c>
      <c r="O102" s="15">
        <f t="shared" si="26"/>
        <v>116786.39672369009</v>
      </c>
      <c r="P102" s="15">
        <f t="shared" si="27"/>
        <v>57848.979636558324</v>
      </c>
      <c r="Q102" s="15">
        <f t="shared" si="28"/>
        <v>0</v>
      </c>
      <c r="R102" s="15">
        <f t="shared" si="29"/>
        <v>0</v>
      </c>
      <c r="S102" s="15">
        <f t="shared" si="30"/>
        <v>0</v>
      </c>
      <c r="T102" s="15">
        <f t="shared" si="31"/>
        <v>0</v>
      </c>
      <c r="U102" s="15">
        <f t="shared" si="32"/>
        <v>0</v>
      </c>
    </row>
    <row r="103" spans="5:21" x14ac:dyDescent="0.25">
      <c r="E103" s="3">
        <f t="shared" si="33"/>
        <v>8</v>
      </c>
      <c r="G103" s="83">
        <f>'Base Case'!G104</f>
        <v>0</v>
      </c>
      <c r="H103" s="83">
        <f>'Base Case'!H104</f>
        <v>0</v>
      </c>
      <c r="I103" s="83">
        <f>'Base Case'!I104</f>
        <v>0</v>
      </c>
      <c r="J103" s="89">
        <f>'Claims Shock'!J103</f>
        <v>0</v>
      </c>
      <c r="K103" s="101">
        <f>'Update Assumptions'!K103</f>
        <v>0</v>
      </c>
      <c r="L103" s="15">
        <f t="shared" si="23"/>
        <v>0</v>
      </c>
      <c r="M103" s="15">
        <f t="shared" si="24"/>
        <v>0</v>
      </c>
      <c r="N103" s="15">
        <f t="shared" si="25"/>
        <v>254816.24921065374</v>
      </c>
      <c r="O103" s="15">
        <f t="shared" si="26"/>
        <v>189100.01941300707</v>
      </c>
      <c r="P103" s="15">
        <f t="shared" si="27"/>
        <v>124815.46149844378</v>
      </c>
      <c r="Q103" s="15">
        <f t="shared" si="28"/>
        <v>61826.096986571705</v>
      </c>
      <c r="R103" s="15">
        <f t="shared" si="29"/>
        <v>0</v>
      </c>
      <c r="S103" s="15">
        <f t="shared" si="30"/>
        <v>0</v>
      </c>
      <c r="T103" s="15">
        <f t="shared" si="31"/>
        <v>0</v>
      </c>
      <c r="U103" s="15">
        <f t="shared" si="32"/>
        <v>0</v>
      </c>
    </row>
    <row r="104" spans="5:21" x14ac:dyDescent="0.25">
      <c r="E104" s="3">
        <f t="shared" si="33"/>
        <v>9</v>
      </c>
      <c r="G104" s="83">
        <f>'Base Case'!G105</f>
        <v>0</v>
      </c>
      <c r="H104" s="83">
        <f>'Base Case'!H105</f>
        <v>0</v>
      </c>
      <c r="I104" s="83">
        <f>'Base Case'!I105</f>
        <v>0</v>
      </c>
      <c r="J104" s="89">
        <f>'Claims Shock'!J104</f>
        <v>0</v>
      </c>
      <c r="K104" s="101">
        <f>'Update Assumptions'!K104</f>
        <v>0</v>
      </c>
      <c r="L104" s="15">
        <f t="shared" si="23"/>
        <v>0</v>
      </c>
      <c r="M104" s="15">
        <f t="shared" si="24"/>
        <v>0</v>
      </c>
      <c r="N104" s="15">
        <f t="shared" si="25"/>
        <v>0</v>
      </c>
      <c r="O104" s="15">
        <f t="shared" si="26"/>
        <v>268972.70750013448</v>
      </c>
      <c r="P104" s="15">
        <f t="shared" si="27"/>
        <v>199605.57604706302</v>
      </c>
      <c r="Q104" s="15">
        <f t="shared" si="28"/>
        <v>131749.65380391289</v>
      </c>
      <c r="R104" s="15">
        <f t="shared" si="29"/>
        <v>65260.880152492355</v>
      </c>
      <c r="S104" s="15">
        <f t="shared" si="30"/>
        <v>0</v>
      </c>
      <c r="T104" s="15">
        <f t="shared" si="31"/>
        <v>0</v>
      </c>
      <c r="U104" s="15">
        <f t="shared" si="32"/>
        <v>0</v>
      </c>
    </row>
    <row r="105" spans="5:21" x14ac:dyDescent="0.25">
      <c r="E105" s="3">
        <f t="shared" si="33"/>
        <v>10</v>
      </c>
      <c r="G105" s="83">
        <f>'Base Case'!G106</f>
        <v>0</v>
      </c>
      <c r="H105" s="83">
        <f>'Base Case'!H106</f>
        <v>0</v>
      </c>
      <c r="I105" s="83">
        <f>'Base Case'!I106</f>
        <v>0</v>
      </c>
      <c r="J105" s="89">
        <f>'Claims Shock'!J105</f>
        <v>0</v>
      </c>
      <c r="K105" s="101">
        <f>'Update Assumptions'!K105</f>
        <v>0</v>
      </c>
      <c r="L105" s="15">
        <f t="shared" si="23"/>
        <v>0</v>
      </c>
      <c r="M105" s="15">
        <f t="shared" si="24"/>
        <v>0</v>
      </c>
      <c r="N105" s="15">
        <f t="shared" si="25"/>
        <v>0</v>
      </c>
      <c r="O105" s="15">
        <f t="shared" si="26"/>
        <v>0</v>
      </c>
      <c r="P105" s="15">
        <f t="shared" si="27"/>
        <v>281076.47933764063</v>
      </c>
      <c r="Q105" s="15">
        <f t="shared" si="28"/>
        <v>208587.82696918095</v>
      </c>
      <c r="R105" s="15">
        <f t="shared" si="29"/>
        <v>137678.38822508903</v>
      </c>
      <c r="S105" s="15">
        <f t="shared" si="30"/>
        <v>68197.619759354537</v>
      </c>
      <c r="T105" s="15">
        <f t="shared" si="31"/>
        <v>0</v>
      </c>
      <c r="U105" s="15">
        <f t="shared" si="32"/>
        <v>0</v>
      </c>
    </row>
    <row r="106" spans="5:21" x14ac:dyDescent="0.25">
      <c r="E106" s="3">
        <f t="shared" si="33"/>
        <v>11</v>
      </c>
      <c r="G106" s="83">
        <f>'Base Case'!G107</f>
        <v>0</v>
      </c>
      <c r="H106" s="83">
        <f>'Base Case'!H107</f>
        <v>0</v>
      </c>
      <c r="I106" s="83">
        <f>'Base Case'!I107</f>
        <v>0</v>
      </c>
      <c r="J106" s="89">
        <f>'Claims Shock'!J106</f>
        <v>0</v>
      </c>
      <c r="K106" s="101">
        <f>'Update Assumptions'!K106</f>
        <v>0</v>
      </c>
      <c r="L106" s="15">
        <f t="shared" si="23"/>
        <v>0</v>
      </c>
      <c r="M106" s="15">
        <f t="shared" si="24"/>
        <v>0</v>
      </c>
      <c r="N106" s="15">
        <f t="shared" si="25"/>
        <v>0</v>
      </c>
      <c r="O106" s="15">
        <f t="shared" si="26"/>
        <v>0</v>
      </c>
      <c r="P106" s="15">
        <f t="shared" si="27"/>
        <v>0</v>
      </c>
      <c r="Q106" s="15">
        <f t="shared" si="28"/>
        <v>291297.44222264568</v>
      </c>
      <c r="R106" s="15">
        <f t="shared" si="29"/>
        <v>216172.83885896922</v>
      </c>
      <c r="S106" s="15">
        <f t="shared" si="30"/>
        <v>142684.87506963764</v>
      </c>
      <c r="T106" s="15">
        <f t="shared" si="31"/>
        <v>70677.53320514923</v>
      </c>
      <c r="U106" s="15">
        <f t="shared" si="32"/>
        <v>0</v>
      </c>
    </row>
    <row r="107" spans="5:21" x14ac:dyDescent="0.25">
      <c r="E107" s="3">
        <f t="shared" si="33"/>
        <v>12</v>
      </c>
      <c r="G107" s="83">
        <f>'Base Case'!G108</f>
        <v>0</v>
      </c>
      <c r="H107" s="83">
        <f>'Base Case'!H108</f>
        <v>0</v>
      </c>
      <c r="I107" s="83">
        <f>'Base Case'!I108</f>
        <v>0</v>
      </c>
      <c r="J107" s="89">
        <f>'Claims Shock'!J107</f>
        <v>0</v>
      </c>
      <c r="K107" s="101">
        <f>'Update Assumptions'!K107</f>
        <v>0</v>
      </c>
      <c r="L107" s="15">
        <f t="shared" si="23"/>
        <v>0</v>
      </c>
      <c r="M107" s="15">
        <f t="shared" si="24"/>
        <v>0</v>
      </c>
      <c r="N107" s="15">
        <f t="shared" si="25"/>
        <v>0</v>
      </c>
      <c r="O107" s="15">
        <f t="shared" si="26"/>
        <v>0</v>
      </c>
      <c r="P107" s="15">
        <f t="shared" si="27"/>
        <v>0</v>
      </c>
      <c r="Q107" s="15">
        <f t="shared" si="28"/>
        <v>0</v>
      </c>
      <c r="R107" s="15">
        <f t="shared" si="29"/>
        <v>244995.88404016517</v>
      </c>
      <c r="S107" s="15">
        <f t="shared" si="30"/>
        <v>161709.52507892263</v>
      </c>
      <c r="T107" s="15">
        <f t="shared" si="31"/>
        <v>80101.204299169112</v>
      </c>
      <c r="U107" s="15">
        <f t="shared" si="32"/>
        <v>0</v>
      </c>
    </row>
    <row r="108" spans="5:21" x14ac:dyDescent="0.25">
      <c r="E108" s="3">
        <f t="shared" si="33"/>
        <v>13</v>
      </c>
      <c r="G108" s="83">
        <f>'Base Case'!G109</f>
        <v>0</v>
      </c>
      <c r="H108" s="83">
        <f>'Base Case'!H109</f>
        <v>0</v>
      </c>
      <c r="I108" s="83">
        <f>'Base Case'!I109</f>
        <v>0</v>
      </c>
      <c r="J108" s="89">
        <f>'Claims Shock'!J108</f>
        <v>0</v>
      </c>
      <c r="K108" s="101">
        <f>'Update Assumptions'!K108</f>
        <v>0</v>
      </c>
      <c r="L108" s="15">
        <f t="shared" si="23"/>
        <v>0</v>
      </c>
      <c r="M108" s="15">
        <f t="shared" si="24"/>
        <v>0</v>
      </c>
      <c r="N108" s="15">
        <f t="shared" si="25"/>
        <v>0</v>
      </c>
      <c r="O108" s="15">
        <f t="shared" si="26"/>
        <v>0</v>
      </c>
      <c r="P108" s="15">
        <f t="shared" si="27"/>
        <v>0</v>
      </c>
      <c r="Q108" s="15">
        <f t="shared" si="28"/>
        <v>0</v>
      </c>
      <c r="R108" s="15">
        <f t="shared" si="29"/>
        <v>0</v>
      </c>
      <c r="S108" s="15">
        <f t="shared" si="30"/>
        <v>199758.82509749269</v>
      </c>
      <c r="T108" s="15">
        <f t="shared" si="31"/>
        <v>98948.546487208907</v>
      </c>
      <c r="U108" s="15">
        <f t="shared" si="32"/>
        <v>0</v>
      </c>
    </row>
    <row r="109" spans="5:21" x14ac:dyDescent="0.25">
      <c r="E109" s="3">
        <f t="shared" si="33"/>
        <v>14</v>
      </c>
      <c r="G109" s="83">
        <f>'Base Case'!G110</f>
        <v>0</v>
      </c>
      <c r="H109" s="83">
        <f>'Base Case'!H110</f>
        <v>0</v>
      </c>
      <c r="I109" s="83">
        <f>'Base Case'!I110</f>
        <v>0</v>
      </c>
      <c r="J109" s="89">
        <f>'Claims Shock'!J109</f>
        <v>0</v>
      </c>
      <c r="K109" s="101">
        <f>'Update Assumptions'!K109</f>
        <v>0</v>
      </c>
      <c r="L109" s="15">
        <f t="shared" si="23"/>
        <v>0</v>
      </c>
      <c r="M109" s="15">
        <f t="shared" si="24"/>
        <v>0</v>
      </c>
      <c r="N109" s="15">
        <f t="shared" si="25"/>
        <v>0</v>
      </c>
      <c r="O109" s="15">
        <f t="shared" si="26"/>
        <v>0</v>
      </c>
      <c r="P109" s="15">
        <f t="shared" si="27"/>
        <v>0</v>
      </c>
      <c r="Q109" s="15">
        <f t="shared" si="28"/>
        <v>0</v>
      </c>
      <c r="R109" s="15">
        <f t="shared" si="29"/>
        <v>0</v>
      </c>
      <c r="S109" s="15">
        <f t="shared" si="30"/>
        <v>0</v>
      </c>
      <c r="T109" s="15">
        <f t="shared" si="31"/>
        <v>129575.47754277359</v>
      </c>
      <c r="U109" s="15">
        <f t="shared" si="32"/>
        <v>0</v>
      </c>
    </row>
    <row r="110" spans="5:21" x14ac:dyDescent="0.25">
      <c r="E110" s="3">
        <f t="shared" si="33"/>
        <v>15</v>
      </c>
      <c r="G110" s="83">
        <f>'Base Case'!G111</f>
        <v>0</v>
      </c>
      <c r="H110" s="83">
        <f>'Base Case'!H111</f>
        <v>0</v>
      </c>
      <c r="I110" s="83">
        <f>'Base Case'!I111</f>
        <v>0</v>
      </c>
      <c r="J110" s="89">
        <f>'Claims Shock'!J110</f>
        <v>0</v>
      </c>
      <c r="K110" s="101">
        <f>'Update Assumptions'!K110</f>
        <v>0</v>
      </c>
      <c r="L110" s="15">
        <f t="shared" si="23"/>
        <v>0</v>
      </c>
      <c r="M110" s="15">
        <f t="shared" si="24"/>
        <v>0</v>
      </c>
      <c r="N110" s="15">
        <f t="shared" si="25"/>
        <v>0</v>
      </c>
      <c r="O110" s="15">
        <f t="shared" si="26"/>
        <v>0</v>
      </c>
      <c r="P110" s="15">
        <f t="shared" si="27"/>
        <v>0</v>
      </c>
      <c r="Q110" s="15">
        <f t="shared" si="28"/>
        <v>0</v>
      </c>
      <c r="R110" s="15">
        <f t="shared" si="29"/>
        <v>0</v>
      </c>
      <c r="S110" s="15">
        <f t="shared" si="30"/>
        <v>0</v>
      </c>
      <c r="T110" s="15">
        <f t="shared" si="31"/>
        <v>0</v>
      </c>
      <c r="U110" s="15">
        <f t="shared" si="32"/>
        <v>0</v>
      </c>
    </row>
    <row r="111" spans="5:21" x14ac:dyDescent="0.25">
      <c r="E111" s="64" t="s">
        <v>4</v>
      </c>
      <c r="G111" s="65">
        <f>SUM(G96:G110)</f>
        <v>62613.034328825532</v>
      </c>
      <c r="H111" s="65">
        <f t="shared" ref="H111:U111" si="34">SUM(H96:H110)</f>
        <v>132778.06444891082</v>
      </c>
      <c r="I111" s="65">
        <f t="shared" si="34"/>
        <v>202098.07366815279</v>
      </c>
      <c r="J111" s="65">
        <f t="shared" si="34"/>
        <v>286822.50076511921</v>
      </c>
      <c r="K111" s="65">
        <f t="shared" si="34"/>
        <v>441136.86731997575</v>
      </c>
      <c r="L111" s="65">
        <f t="shared" si="34"/>
        <v>495602.07827217155</v>
      </c>
      <c r="M111" s="65">
        <f t="shared" si="34"/>
        <v>542833.65835632407</v>
      </c>
      <c r="N111" s="65">
        <f t="shared" si="34"/>
        <v>587392.30222077738</v>
      </c>
      <c r="O111" s="65">
        <f t="shared" si="34"/>
        <v>628141.0785652406</v>
      </c>
      <c r="P111" s="65">
        <f t="shared" si="34"/>
        <v>663346.49651970575</v>
      </c>
      <c r="Q111" s="65">
        <f t="shared" si="34"/>
        <v>693461.01998231118</v>
      </c>
      <c r="R111" s="65">
        <f t="shared" si="34"/>
        <v>664107.99127671577</v>
      </c>
      <c r="S111" s="65">
        <f t="shared" si="34"/>
        <v>572350.84500540746</v>
      </c>
      <c r="T111" s="65">
        <f t="shared" si="34"/>
        <v>379302.76153430087</v>
      </c>
      <c r="U111" s="65">
        <f t="shared" si="34"/>
        <v>0</v>
      </c>
    </row>
    <row r="114" spans="7:8" x14ac:dyDescent="0.25">
      <c r="G114" s="66"/>
      <c r="H114" s="66"/>
    </row>
    <row r="115" spans="7:8" x14ac:dyDescent="0.25">
      <c r="G115" s="66"/>
      <c r="H115" s="66"/>
    </row>
  </sheetData>
  <mergeCells count="2">
    <mergeCell ref="J38:N38"/>
    <mergeCell ref="P38:R38"/>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E75DB-936D-4A5E-A722-3379BF3B9CE6}">
  <sheetPr>
    <tabColor theme="9"/>
  </sheetPr>
  <dimension ref="A1:AC115"/>
  <sheetViews>
    <sheetView showGridLines="0" zoomScaleNormal="100" workbookViewId="0"/>
  </sheetViews>
  <sheetFormatPr defaultColWidth="8.85546875" defaultRowHeight="15" x14ac:dyDescent="0.25"/>
  <cols>
    <col min="1" max="4" width="1.85546875" style="3" customWidth="1"/>
    <col min="5" max="5" width="18.85546875" style="3" bestFit="1" customWidth="1"/>
    <col min="6" max="6" width="21.5703125" style="3" bestFit="1" customWidth="1"/>
    <col min="7" max="18" width="15.5703125" style="3" bestFit="1" customWidth="1"/>
    <col min="19" max="21" width="16.140625" style="3" bestFit="1" customWidth="1"/>
    <col min="22" max="22" width="14" style="3" bestFit="1" customWidth="1"/>
    <col min="23" max="24" width="16.140625" style="3" bestFit="1" customWidth="1"/>
    <col min="25" max="25" width="20.42578125" style="3" customWidth="1"/>
    <col min="26" max="26" width="11.5703125" style="3" bestFit="1" customWidth="1"/>
    <col min="27" max="28" width="10.42578125" style="3" bestFit="1" customWidth="1"/>
    <col min="29" max="29" width="7.140625" style="3" bestFit="1" customWidth="1"/>
    <col min="30" max="30" width="1.85546875" style="3" customWidth="1"/>
    <col min="31" max="31" width="11.85546875" style="3" bestFit="1" customWidth="1"/>
    <col min="32" max="32" width="13.5703125" style="3" bestFit="1" customWidth="1"/>
    <col min="33" max="34" width="11.85546875" style="3" bestFit="1" customWidth="1"/>
    <col min="35" max="16384" width="8.85546875" style="3"/>
  </cols>
  <sheetData>
    <row r="1" spans="1:12" x14ac:dyDescent="0.25">
      <c r="A1" s="4" t="s">
        <v>95</v>
      </c>
    </row>
    <row r="2" spans="1:12" x14ac:dyDescent="0.25">
      <c r="A2" s="1" t="s">
        <v>96</v>
      </c>
    </row>
    <row r="3" spans="1:12" x14ac:dyDescent="0.25">
      <c r="A3" s="5" t="s">
        <v>97</v>
      </c>
    </row>
    <row r="4" spans="1:12" x14ac:dyDescent="0.25">
      <c r="A4" s="6" t="s">
        <v>108</v>
      </c>
    </row>
    <row r="6" spans="1:12" x14ac:dyDescent="0.25">
      <c r="B6" s="2" t="s">
        <v>0</v>
      </c>
    </row>
    <row r="7" spans="1:12" x14ac:dyDescent="0.25">
      <c r="B7" s="2" t="s">
        <v>1</v>
      </c>
    </row>
    <row r="8" spans="1:12" x14ac:dyDescent="0.25">
      <c r="B8" s="2"/>
    </row>
    <row r="9" spans="1:12" x14ac:dyDescent="0.25">
      <c r="B9" s="2" t="s">
        <v>7</v>
      </c>
      <c r="K9" s="7"/>
    </row>
    <row r="11" spans="1:12" x14ac:dyDescent="0.25">
      <c r="B11" s="2" t="s">
        <v>62</v>
      </c>
    </row>
    <row r="13" spans="1:12" x14ac:dyDescent="0.25">
      <c r="C13" s="2" t="s">
        <v>2</v>
      </c>
    </row>
    <row r="14" spans="1:12" x14ac:dyDescent="0.25">
      <c r="D14" s="3" t="s">
        <v>67</v>
      </c>
    </row>
    <row r="15" spans="1:12" x14ac:dyDescent="0.25">
      <c r="D15" s="3" t="s">
        <v>72</v>
      </c>
      <c r="J15" s="2" t="s">
        <v>44</v>
      </c>
      <c r="L15" s="45"/>
    </row>
    <row r="16" spans="1:12" x14ac:dyDescent="0.25">
      <c r="D16" s="3" t="s">
        <v>10</v>
      </c>
      <c r="J16" s="67" t="s">
        <v>45</v>
      </c>
      <c r="K16" s="67"/>
      <c r="L16" s="67"/>
    </row>
    <row r="17" spans="3:15" x14ac:dyDescent="0.25">
      <c r="D17" s="3" t="s">
        <v>14</v>
      </c>
      <c r="J17" s="68" t="s">
        <v>46</v>
      </c>
      <c r="K17" s="69"/>
      <c r="L17" s="68"/>
    </row>
    <row r="18" spans="3:15" x14ac:dyDescent="0.25">
      <c r="D18" s="3" t="s">
        <v>19</v>
      </c>
      <c r="J18" s="70" t="s">
        <v>47</v>
      </c>
      <c r="K18" s="70"/>
      <c r="L18" s="70"/>
    </row>
    <row r="19" spans="3:15" x14ac:dyDescent="0.25">
      <c r="D19" s="3" t="s">
        <v>20</v>
      </c>
      <c r="J19" s="71" t="s">
        <v>48</v>
      </c>
      <c r="K19" s="71"/>
      <c r="L19" s="71"/>
    </row>
    <row r="20" spans="3:15" x14ac:dyDescent="0.25">
      <c r="D20" s="3" t="s">
        <v>36</v>
      </c>
      <c r="J20" s="72" t="s">
        <v>49</v>
      </c>
      <c r="K20" s="72"/>
      <c r="L20" s="72"/>
    </row>
    <row r="21" spans="3:15" x14ac:dyDescent="0.25">
      <c r="D21" s="3" t="s">
        <v>35</v>
      </c>
      <c r="J21" s="73" t="s">
        <v>50</v>
      </c>
      <c r="K21" s="73"/>
      <c r="L21" s="73"/>
    </row>
    <row r="23" spans="3:15" x14ac:dyDescent="0.25">
      <c r="C23" s="2" t="s">
        <v>8</v>
      </c>
    </row>
    <row r="24" spans="3:15" x14ac:dyDescent="0.25">
      <c r="E24" s="9">
        <v>0.65</v>
      </c>
      <c r="F24" s="9" t="s">
        <v>11</v>
      </c>
      <c r="G24" s="85">
        <v>0.15</v>
      </c>
      <c r="H24" s="9" t="s">
        <v>51</v>
      </c>
      <c r="I24" s="9"/>
      <c r="J24" s="9"/>
    </row>
    <row r="25" spans="3:15" x14ac:dyDescent="0.25">
      <c r="E25" s="13">
        <v>3.5000000000000003E-2</v>
      </c>
      <c r="F25" s="9" t="s">
        <v>6</v>
      </c>
      <c r="G25" s="9"/>
      <c r="H25" s="9"/>
      <c r="I25" s="9"/>
      <c r="J25" s="9"/>
    </row>
    <row r="26" spans="3:15" x14ac:dyDescent="0.25">
      <c r="E26" s="9">
        <v>0.05</v>
      </c>
      <c r="F26" s="9" t="s">
        <v>9</v>
      </c>
      <c r="G26" s="9"/>
      <c r="H26" s="9"/>
      <c r="I26" s="9"/>
      <c r="J26" s="9"/>
    </row>
    <row r="27" spans="3:15" ht="12.6" customHeight="1" x14ac:dyDescent="0.25">
      <c r="E27" s="9">
        <v>0.05</v>
      </c>
      <c r="F27" s="9" t="s">
        <v>13</v>
      </c>
      <c r="O27" s="11"/>
    </row>
    <row r="28" spans="3:15" x14ac:dyDescent="0.25">
      <c r="E28" s="9"/>
      <c r="F28" s="9"/>
    </row>
    <row r="29" spans="3:15" ht="12.75" customHeight="1" x14ac:dyDescent="0.25">
      <c r="C29" s="2" t="s">
        <v>17</v>
      </c>
      <c r="E29" s="9"/>
      <c r="F29" s="9"/>
    </row>
    <row r="30" spans="3:15" ht="12.75" customHeight="1" x14ac:dyDescent="0.25">
      <c r="E30" s="12">
        <f>'Base Case'!E30</f>
        <v>451.96307684931026</v>
      </c>
      <c r="F30" s="9" t="s">
        <v>18</v>
      </c>
      <c r="L30" s="11"/>
    </row>
    <row r="31" spans="3:15" x14ac:dyDescent="0.25">
      <c r="E31" s="74">
        <f ca="1">SUM(F35:H35)/E35</f>
        <v>0.72018229551992041</v>
      </c>
      <c r="F31" s="9" t="s">
        <v>31</v>
      </c>
    </row>
    <row r="32" spans="3:15" x14ac:dyDescent="0.25">
      <c r="E32" s="9"/>
      <c r="F32" s="9"/>
    </row>
    <row r="33" spans="3:22" x14ac:dyDescent="0.25">
      <c r="C33" s="2" t="s">
        <v>37</v>
      </c>
      <c r="D33" s="2"/>
      <c r="E33" s="2"/>
      <c r="F33" s="2"/>
      <c r="G33" s="2"/>
    </row>
    <row r="34" spans="3:22" ht="30" x14ac:dyDescent="0.25">
      <c r="E34" s="14" t="s">
        <v>38</v>
      </c>
      <c r="F34" s="14" t="str">
        <f>"PV Claims Paid (incurred t&lt;="&amp;$U$38&amp;")"</f>
        <v>PV Claims Paid (incurred t&lt;=7)</v>
      </c>
      <c r="G34" s="14" t="str">
        <f>"PV Claim Reserve (t="&amp;$U$38&amp;")"</f>
        <v>PV Claim Reserve (t=7)</v>
      </c>
      <c r="H34" s="14" t="str">
        <f>"PVF Claims Paid (incurred t&gt;"&amp;$U$38&amp;")"</f>
        <v>PVF Claims Paid (incurred t&gt;7)</v>
      </c>
      <c r="I34" s="14" t="s">
        <v>4</v>
      </c>
    </row>
    <row r="35" spans="3:22" x14ac:dyDescent="0.25">
      <c r="E35" s="84">
        <f>NPV(DiscountRate,J41:J$55)*(1+DiscountRate)</f>
        <v>4246827.602737139</v>
      </c>
      <c r="F35" s="16">
        <f ca="1">NPV(DiscountRate,T41:T$55)</f>
        <v>888616.58370638546</v>
      </c>
      <c r="G35" s="16">
        <f ca="1">NPV(DiscountRate,U41:U$55)</f>
        <v>426662.34862299933</v>
      </c>
      <c r="H35" s="16">
        <f ca="1">NPV(DiscountRate,V41:V$55)</f>
        <v>1743211.1192872084</v>
      </c>
      <c r="I35" s="16">
        <f ca="1">SUM(F35:H35)</f>
        <v>3058490.0516165933</v>
      </c>
    </row>
    <row r="36" spans="3:22" x14ac:dyDescent="0.25">
      <c r="E36" s="9"/>
      <c r="F36" s="9"/>
    </row>
    <row r="37" spans="3:22" ht="12.6" customHeight="1" x14ac:dyDescent="0.25">
      <c r="C37" s="2" t="s">
        <v>94</v>
      </c>
      <c r="E37" s="9"/>
      <c r="F37" s="9"/>
      <c r="J37" s="16"/>
      <c r="K37" s="16"/>
      <c r="L37" s="16"/>
      <c r="M37" s="16"/>
      <c r="N37" s="16"/>
      <c r="O37" s="16"/>
      <c r="P37" s="16"/>
      <c r="Q37" s="16"/>
      <c r="R37" s="16"/>
    </row>
    <row r="38" spans="3:22" ht="12.6" customHeight="1" x14ac:dyDescent="0.25">
      <c r="C38" s="2"/>
      <c r="E38" s="9"/>
      <c r="F38" s="9"/>
      <c r="J38" s="116" t="s">
        <v>56</v>
      </c>
      <c r="K38" s="117"/>
      <c r="L38" s="117"/>
      <c r="M38" s="117"/>
      <c r="N38" s="118"/>
      <c r="O38" s="18"/>
      <c r="P38" s="116" t="s">
        <v>57</v>
      </c>
      <c r="Q38" s="117"/>
      <c r="R38" s="118"/>
      <c r="T38" s="19" t="s">
        <v>34</v>
      </c>
      <c r="U38" s="3">
        <v>7</v>
      </c>
    </row>
    <row r="39" spans="3:22" ht="45" x14ac:dyDescent="0.25">
      <c r="E39" s="20" t="s">
        <v>3</v>
      </c>
      <c r="F39" s="20" t="s">
        <v>22</v>
      </c>
      <c r="G39" s="20" t="s">
        <v>29</v>
      </c>
      <c r="H39" s="20" t="s">
        <v>28</v>
      </c>
      <c r="I39" s="20" t="s">
        <v>30</v>
      </c>
      <c r="J39" s="20" t="s">
        <v>52</v>
      </c>
      <c r="K39" s="20" t="s">
        <v>53</v>
      </c>
      <c r="L39" s="20" t="s">
        <v>54</v>
      </c>
      <c r="M39" s="20" t="s">
        <v>55</v>
      </c>
      <c r="N39" s="20" t="s">
        <v>70</v>
      </c>
      <c r="O39" s="20" t="s">
        <v>71</v>
      </c>
      <c r="P39" s="20" t="s">
        <v>68</v>
      </c>
      <c r="Q39" s="20" t="s">
        <v>32</v>
      </c>
      <c r="R39" s="20" t="s">
        <v>33</v>
      </c>
      <c r="T39" s="20" t="str">
        <f>"Claims Paid (t&lt;="&amp;$U$38&amp;")"</f>
        <v>Claims Paid (t&lt;=7)</v>
      </c>
      <c r="U39" s="20" t="str">
        <f>"Claim Reserve (t="&amp;$U$38&amp;")"</f>
        <v>Claim Reserve (t=7)</v>
      </c>
      <c r="V39" s="20" t="str">
        <f>"Future Claims Paid (incurred t&gt;"&amp;$U$38&amp;")"</f>
        <v>Future Claims Paid (incurred t&gt;7)</v>
      </c>
    </row>
    <row r="40" spans="3:22" x14ac:dyDescent="0.25">
      <c r="E40" s="25">
        <v>0</v>
      </c>
      <c r="F40" s="25"/>
      <c r="G40" s="25"/>
      <c r="H40" s="25"/>
      <c r="I40" s="25"/>
      <c r="J40" s="25"/>
      <c r="K40" s="25"/>
      <c r="L40" s="25"/>
      <c r="M40" s="25"/>
      <c r="N40" s="25"/>
      <c r="O40" s="25"/>
      <c r="P40" s="25"/>
      <c r="Q40" s="25"/>
      <c r="R40" s="25"/>
      <c r="T40" s="30"/>
      <c r="U40" s="30"/>
      <c r="V40" s="30"/>
    </row>
    <row r="41" spans="3:22" x14ac:dyDescent="0.25">
      <c r="E41" s="30">
        <v>1</v>
      </c>
      <c r="F41" s="37">
        <v>1000</v>
      </c>
      <c r="G41" s="32"/>
      <c r="H41" s="32"/>
      <c r="I41" s="32"/>
      <c r="J41" s="76">
        <f>'Base Case'!J41</f>
        <v>451963.07684931025</v>
      </c>
      <c r="K41" s="76">
        <f>'Base Case'!K41</f>
        <v>25000</v>
      </c>
      <c r="L41" s="77">
        <f>'Base Case'!L41</f>
        <v>15818.707689725861</v>
      </c>
      <c r="M41" s="76">
        <f ca="1">P41-P40</f>
        <v>279058.15995037323</v>
      </c>
      <c r="N41" s="77">
        <f ca="1">'Base Case'!N41</f>
        <v>163723.62458866287</v>
      </c>
      <c r="O41" s="78">
        <f ca="1">'Base Case'!O41</f>
        <v>0.35000000000000053</v>
      </c>
      <c r="P41" s="76">
        <f ca="1">'Base Case'!P41</f>
        <v>279058.15995037323</v>
      </c>
      <c r="Q41" s="76">
        <f ca="1">'Base Case'!Q41</f>
        <v>216445.12562154746</v>
      </c>
      <c r="R41" s="76">
        <f>'Base Case'!R41</f>
        <v>62613.034328825532</v>
      </c>
      <c r="T41" s="32">
        <f t="shared" ref="T41:T55" ca="1" si="0">IF(E41&lt;=$U$38,SUM(OFFSET($G$77,0,E41-1,U$38)),0)</f>
        <v>25000</v>
      </c>
      <c r="U41" s="32">
        <f t="shared" ref="U41:U55" ca="1" si="1">IF(E41=$U$38,OFFSET($F$111,0,$U$38),0)</f>
        <v>0</v>
      </c>
      <c r="V41" s="34">
        <f t="shared" ref="V41:V55" ca="1" si="2">IF(E41&gt;$U$38,OFFSET($F$92,0,E41)-IFERROR(SUM(OFFSET($G$77,0,E41-1,U$38)),0),0)</f>
        <v>0</v>
      </c>
    </row>
    <row r="42" spans="3:22" x14ac:dyDescent="0.25">
      <c r="E42" s="30">
        <f>E41+1</f>
        <v>2</v>
      </c>
      <c r="F42" s="37">
        <f t="shared" ref="F42:F55" si="3">F41*(1-PolicyTerm)</f>
        <v>950</v>
      </c>
      <c r="G42" s="32"/>
      <c r="H42" s="32"/>
      <c r="I42" s="32"/>
      <c r="J42" s="76">
        <f>'Base Case'!J42</f>
        <v>429364.92300684477</v>
      </c>
      <c r="K42" s="76">
        <f>'Base Case'!K42</f>
        <v>56875</v>
      </c>
      <c r="L42" s="77">
        <f ca="1">'Base Case'!L42</f>
        <v>24794.807903502631</v>
      </c>
      <c r="M42" s="76">
        <f t="shared" ref="M42:M55" ca="1" si="4">P42-P41</f>
        <v>241747.2875511176</v>
      </c>
      <c r="N42" s="77">
        <f ca="1">'Base Case'!N42</f>
        <v>155537.44335922983</v>
      </c>
      <c r="O42" s="78">
        <f ca="1">'Base Case'!O42</f>
        <v>0.3500000000000007</v>
      </c>
      <c r="P42" s="76">
        <f ca="1">'Base Case'!P42</f>
        <v>520805.44750149082</v>
      </c>
      <c r="Q42" s="76">
        <f ca="1">'Base Case'!Q42</f>
        <v>388027.38305258006</v>
      </c>
      <c r="R42" s="76">
        <f>'Base Case'!R42</f>
        <v>132778.06444891082</v>
      </c>
      <c r="T42" s="32">
        <f t="shared" ca="1" si="0"/>
        <v>56875</v>
      </c>
      <c r="U42" s="32">
        <f t="shared" ca="1" si="1"/>
        <v>0</v>
      </c>
      <c r="V42" s="34">
        <f t="shared" ca="1" si="2"/>
        <v>0</v>
      </c>
    </row>
    <row r="43" spans="3:22" x14ac:dyDescent="0.25">
      <c r="E43" s="30">
        <f t="shared" ref="E43:E55" si="5">E42+1</f>
        <v>3</v>
      </c>
      <c r="F43" s="37">
        <f t="shared" si="3"/>
        <v>902.5</v>
      </c>
      <c r="G43" s="32"/>
      <c r="H43" s="32"/>
      <c r="I43" s="32"/>
      <c r="J43" s="76">
        <f>'Base Case'!J43</f>
        <v>407896.67685650248</v>
      </c>
      <c r="K43" s="76">
        <f>'Base Case'!K43</f>
        <v>93468.75</v>
      </c>
      <c r="L43" s="77">
        <f ca="1">'Base Case'!L43</f>
        <v>32504.574352529766</v>
      </c>
      <c r="M43" s="76">
        <f t="shared" ca="1" si="4"/>
        <v>199171.93001776468</v>
      </c>
      <c r="N43" s="77">
        <f ca="1">'Base Case'!N43</f>
        <v>147760.57119126758</v>
      </c>
      <c r="O43" s="78">
        <f ca="1">'Base Case'!O43</f>
        <v>0.34999999999999898</v>
      </c>
      <c r="P43" s="76">
        <f ca="1">'Base Case'!P43</f>
        <v>719977.3775192555</v>
      </c>
      <c r="Q43" s="76">
        <f ca="1">'Base Case'!Q43</f>
        <v>517879.30385110201</v>
      </c>
      <c r="R43" s="76">
        <f>'Base Case'!R43</f>
        <v>202098.07366815279</v>
      </c>
      <c r="T43" s="32">
        <f t="shared" ca="1" si="0"/>
        <v>93468.75</v>
      </c>
      <c r="U43" s="32">
        <f t="shared" ca="1" si="1"/>
        <v>0</v>
      </c>
      <c r="V43" s="34">
        <f t="shared" ca="1" si="2"/>
        <v>0</v>
      </c>
    </row>
    <row r="44" spans="3:22" x14ac:dyDescent="0.25">
      <c r="E44" s="30">
        <f t="shared" si="5"/>
        <v>4</v>
      </c>
      <c r="F44" s="37">
        <f t="shared" si="3"/>
        <v>857.375</v>
      </c>
      <c r="G44" s="32"/>
      <c r="H44" s="32"/>
      <c r="I44" s="32"/>
      <c r="J44" s="86">
        <f>'Claims Shock'!J44</f>
        <v>387501.8430136774</v>
      </c>
      <c r="K44" s="86">
        <f>'Claims Shock'!K44</f>
        <v>147054.6875</v>
      </c>
      <c r="L44" s="86">
        <f ca="1">'Claims Shock'!L44</f>
        <v>38761.772718652654</v>
      </c>
      <c r="M44" s="86">
        <f t="shared" ca="1" si="4"/>
        <v>153643.19631256838</v>
      </c>
      <c r="N44" s="86">
        <f ca="1">'Claims Shock'!N44</f>
        <v>125565.73191976169</v>
      </c>
      <c r="O44" s="87">
        <f ca="1">'Claims Shock'!O44</f>
        <v>0.31308121480155099</v>
      </c>
      <c r="P44" s="88">
        <f ca="1">'Claims Shock'!P44</f>
        <v>873620.57383182389</v>
      </c>
      <c r="Q44" s="88">
        <f ca="1">'Claims Shock'!Q44</f>
        <v>586798.07306670421</v>
      </c>
      <c r="R44" s="88">
        <f>'Claims Shock'!R44</f>
        <v>286822.50076511921</v>
      </c>
      <c r="T44" s="32">
        <f t="shared" ca="1" si="0"/>
        <v>147054.6875</v>
      </c>
      <c r="U44" s="32">
        <f t="shared" ca="1" si="1"/>
        <v>0</v>
      </c>
      <c r="V44" s="34">
        <f t="shared" ca="1" si="2"/>
        <v>0</v>
      </c>
    </row>
    <row r="45" spans="3:22" x14ac:dyDescent="0.25">
      <c r="E45" s="30">
        <f t="shared" si="5"/>
        <v>5</v>
      </c>
      <c r="F45" s="37">
        <f t="shared" si="3"/>
        <v>814.50624999999991</v>
      </c>
      <c r="G45" s="32"/>
      <c r="H45" s="32"/>
      <c r="I45" s="32"/>
      <c r="J45" s="93">
        <f>'Update Assumptions'!J45</f>
        <v>368126.75086299347</v>
      </c>
      <c r="K45" s="93">
        <f>'Update Assumptions'!K45</f>
        <v>208142.65625</v>
      </c>
      <c r="L45" s="93">
        <f ca="1">'Update Assumptions'!L45</f>
        <v>43461.156364318616</v>
      </c>
      <c r="M45" s="93">
        <f t="shared" ca="1" si="4"/>
        <v>323969.57862282125</v>
      </c>
      <c r="N45" s="93">
        <f ca="1">'Update Assumptions'!N45</f>
        <v>-120524.32764550915</v>
      </c>
      <c r="O45" s="94">
        <f ca="1">'Update Assumptions'!O45</f>
        <v>-0.31632752977463524</v>
      </c>
      <c r="P45" s="95">
        <f ca="1">'Update Assumptions'!P45</f>
        <v>1197590.1524546451</v>
      </c>
      <c r="Q45" s="95">
        <f ca="1">'Update Assumptions'!Q45</f>
        <v>756453.28513466916</v>
      </c>
      <c r="R45" s="95">
        <f>'Update Assumptions'!R45</f>
        <v>441136.86731997575</v>
      </c>
      <c r="T45" s="32">
        <f t="shared" ca="1" si="0"/>
        <v>208142.65625</v>
      </c>
      <c r="U45" s="32">
        <f t="shared" ca="1" si="1"/>
        <v>0</v>
      </c>
      <c r="V45" s="34">
        <f t="shared" ca="1" si="2"/>
        <v>0</v>
      </c>
    </row>
    <row r="46" spans="3:22" x14ac:dyDescent="0.25">
      <c r="E46" s="30">
        <f t="shared" si="5"/>
        <v>6</v>
      </c>
      <c r="F46" s="37">
        <f t="shared" si="3"/>
        <v>773.78093749999982</v>
      </c>
      <c r="G46" s="32"/>
      <c r="H46" s="32"/>
      <c r="I46" s="32"/>
      <c r="J46" s="102">
        <f>'Assume Rate Increase'!J46</f>
        <v>349720.41331984376</v>
      </c>
      <c r="K46" s="102">
        <f>'Assume Rate Increase'!K46</f>
        <v>248281.98046875</v>
      </c>
      <c r="L46" s="102">
        <f ca="1">'Assume Rate Increase'!L46</f>
        <v>54155.869802107118</v>
      </c>
      <c r="M46" s="102">
        <f t="shared" ca="1" si="4"/>
        <v>-86779.766654788051</v>
      </c>
      <c r="N46" s="102">
        <f ca="1">'Assume Rate Increase'!N46</f>
        <v>242374.06930798892</v>
      </c>
      <c r="O46" s="103">
        <f ca="1">'Assume Rate Increase'!O46</f>
        <v>0.6696144572145587</v>
      </c>
      <c r="P46" s="104">
        <f ca="1">'Assume Rate Increase'!P46</f>
        <v>1110810.3857998571</v>
      </c>
      <c r="Q46" s="102">
        <f ca="1">'Assume Rate Increase'!Q46</f>
        <v>615208.30752768577</v>
      </c>
      <c r="R46" s="102">
        <f>'Assume Rate Increase'!R46</f>
        <v>495602.07827217155</v>
      </c>
      <c r="T46" s="32">
        <f t="shared" ca="1" si="0"/>
        <v>248281.98046875</v>
      </c>
      <c r="U46" s="32">
        <f t="shared" ca="1" si="1"/>
        <v>0</v>
      </c>
      <c r="V46" s="34">
        <f t="shared" ca="1" si="2"/>
        <v>0</v>
      </c>
    </row>
    <row r="47" spans="3:22" x14ac:dyDescent="0.25">
      <c r="E47" s="38">
        <f t="shared" si="5"/>
        <v>7</v>
      </c>
      <c r="F47" s="39">
        <f t="shared" si="3"/>
        <v>735.09189062499979</v>
      </c>
      <c r="G47" s="40"/>
      <c r="H47" s="40"/>
      <c r="I47" s="40"/>
      <c r="J47" s="96">
        <f>$E$30*F47*(1+$G$24)</f>
        <v>382069.55155192921</v>
      </c>
      <c r="K47" s="40">
        <f t="shared" ref="K47:K55" si="6">HLOOKUP(E47,$G$76:$U$92,17,0)</f>
        <v>282048.24238281243</v>
      </c>
      <c r="L47" s="96">
        <f t="shared" ref="L47:L55" ca="1" si="7">($J47+P46)*DiscountRate</f>
        <v>52250.797807312527</v>
      </c>
      <c r="M47" s="79">
        <f t="shared" ca="1" si="4"/>
        <v>70523.640009273542</v>
      </c>
      <c r="N47" s="79">
        <f ca="1">J47+L47-K47-M47</f>
        <v>81748.466967155749</v>
      </c>
      <c r="O47" s="80">
        <f t="shared" ref="O47:O55" ca="1" si="8">IFERROR((N47/(1+DiscountRate))/J47,0)</f>
        <v>0.20672682692038022</v>
      </c>
      <c r="P47" s="81">
        <f t="shared" ref="P47:P55" ca="1" si="9">H48-G48*NetPremiumRatio</f>
        <v>1181334.0258091306</v>
      </c>
      <c r="Q47" s="79">
        <f t="shared" ref="Q47:Q55" ca="1" si="10">I48-G48*NetPremiumRatio</f>
        <v>638500.36745280586</v>
      </c>
      <c r="R47" s="40">
        <f t="shared" ref="R47:R55" si="11">HLOOKUP(E47,$G$95:$U$111,17,0)</f>
        <v>542833.65835632407</v>
      </c>
      <c r="T47" s="32">
        <f t="shared" ca="1" si="0"/>
        <v>282048.24238281243</v>
      </c>
      <c r="U47" s="32">
        <f t="shared" ca="1" si="1"/>
        <v>542833.65835632407</v>
      </c>
      <c r="V47" s="34">
        <f t="shared" ca="1" si="2"/>
        <v>0</v>
      </c>
    </row>
    <row r="48" spans="3:22" x14ac:dyDescent="0.25">
      <c r="E48" s="30">
        <f t="shared" si="5"/>
        <v>8</v>
      </c>
      <c r="F48" s="37">
        <f t="shared" si="3"/>
        <v>698.33729609374973</v>
      </c>
      <c r="G48" s="32">
        <f>NPV(DiscountRate,J48:J$55)*(1+DiscountRate)</f>
        <v>2192987.8033175427</v>
      </c>
      <c r="H48" s="32">
        <f>NPV(DiscountRate,K48:K$55)</f>
        <v>2760685.0160495462</v>
      </c>
      <c r="I48" s="32">
        <f ca="1">NPV(DiscountRate,F84:$F$91)*(1+DiscountRate)</f>
        <v>2217851.3576932214</v>
      </c>
      <c r="J48" s="105">
        <f t="shared" ref="J48:J55" si="12">$E$30*F48*(1+$G$24)</f>
        <v>362966.07397433277</v>
      </c>
      <c r="K48" s="32">
        <f t="shared" si="6"/>
        <v>307819.72919921868</v>
      </c>
      <c r="L48" s="32">
        <f t="shared" ca="1" si="7"/>
        <v>54050.503492421223</v>
      </c>
      <c r="M48" s="32">
        <f t="shared" ca="1" si="4"/>
        <v>4077.7629670624156</v>
      </c>
      <c r="N48" s="32">
        <f t="shared" ref="N48:N55" ca="1" si="13">J48+L48-K48-M48</f>
        <v>105119.08530047291</v>
      </c>
      <c r="O48" s="33">
        <f t="shared" ca="1" si="8"/>
        <v>0.27981770448008175</v>
      </c>
      <c r="P48" s="34">
        <f t="shared" ca="1" si="9"/>
        <v>1185411.788776193</v>
      </c>
      <c r="Q48" s="32">
        <f t="shared" ca="1" si="10"/>
        <v>598019.48655541567</v>
      </c>
      <c r="R48" s="32">
        <f t="shared" si="11"/>
        <v>587392.30222077738</v>
      </c>
      <c r="T48" s="32">
        <f t="shared" ca="1" si="0"/>
        <v>0</v>
      </c>
      <c r="U48" s="32">
        <f t="shared" ca="1" si="1"/>
        <v>0</v>
      </c>
      <c r="V48" s="34">
        <f t="shared" ca="1" si="2"/>
        <v>78562.945810546837</v>
      </c>
    </row>
    <row r="49" spans="4:25" x14ac:dyDescent="0.25">
      <c r="E49" s="30">
        <f t="shared" si="5"/>
        <v>9</v>
      </c>
      <c r="F49" s="37">
        <f t="shared" si="3"/>
        <v>663.42043128906221</v>
      </c>
      <c r="G49" s="32">
        <f>NPV(DiscountRate,J49:J$55)*(1+DiscountRate)</f>
        <v>1894072.4898702223</v>
      </c>
      <c r="H49" s="32">
        <f>NPV(DiscountRate,K49:K$55)</f>
        <v>2549489.262412061</v>
      </c>
      <c r="I49" s="32">
        <f ca="1">NPV(DiscountRate,F85:$F$91)*(1+DiscountRate)</f>
        <v>1962096.9601912836</v>
      </c>
      <c r="J49" s="105">
        <f t="shared" si="12"/>
        <v>344817.77027561615</v>
      </c>
      <c r="K49" s="32">
        <f t="shared" si="6"/>
        <v>331710.21564453113</v>
      </c>
      <c r="L49" s="32">
        <f t="shared" ca="1" si="7"/>
        <v>53558.034566813323</v>
      </c>
      <c r="M49" s="32">
        <f t="shared" ca="1" si="4"/>
        <v>-33197.541837549536</v>
      </c>
      <c r="N49" s="32">
        <f t="shared" ca="1" si="13"/>
        <v>99863.131035447877</v>
      </c>
      <c r="O49" s="33">
        <f t="shared" ca="1" si="8"/>
        <v>0.27981770448007781</v>
      </c>
      <c r="P49" s="34">
        <f t="shared" ca="1" si="9"/>
        <v>1152214.2469386435</v>
      </c>
      <c r="Q49" s="32">
        <f t="shared" ca="1" si="10"/>
        <v>524073.16837340221</v>
      </c>
      <c r="R49" s="32">
        <f t="shared" si="11"/>
        <v>628141.0785652406</v>
      </c>
      <c r="T49" s="32">
        <f t="shared" ca="1" si="0"/>
        <v>0</v>
      </c>
      <c r="U49" s="32">
        <f t="shared" ca="1" si="1"/>
        <v>0</v>
      </c>
      <c r="V49" s="34">
        <f t="shared" ca="1" si="2"/>
        <v>157562.35243115228</v>
      </c>
    </row>
    <row r="50" spans="4:25" x14ac:dyDescent="0.25">
      <c r="E50" s="30">
        <f t="shared" si="5"/>
        <v>10</v>
      </c>
      <c r="F50" s="37">
        <f t="shared" si="3"/>
        <v>630.24940972460911</v>
      </c>
      <c r="G50" s="32">
        <f>NPV(DiscountRate,J50:J$55)*(1+DiscountRate)</f>
        <v>1603478.634780417</v>
      </c>
      <c r="H50" s="32">
        <f>NPV(DiscountRate,K50:K$55)</f>
        <v>2307011.1709519522</v>
      </c>
      <c r="I50" s="32">
        <f ca="1">NPV(DiscountRate,F86:$F$91)*(1+DiscountRate)</f>
        <v>1678870.0923867109</v>
      </c>
      <c r="J50" s="105">
        <f t="shared" si="12"/>
        <v>327576.88176183531</v>
      </c>
      <c r="K50" s="32">
        <f t="shared" si="6"/>
        <v>354515.29297009268</v>
      </c>
      <c r="L50" s="32">
        <f t="shared" ca="1" si="7"/>
        <v>51792.689504516769</v>
      </c>
      <c r="M50" s="32">
        <f t="shared" ca="1" si="4"/>
        <v>-70015.696187417023</v>
      </c>
      <c r="N50" s="32">
        <f t="shared" ca="1" si="13"/>
        <v>94869.974483676429</v>
      </c>
      <c r="O50" s="33">
        <f t="shared" ca="1" si="8"/>
        <v>0.27981770448008064</v>
      </c>
      <c r="P50" s="34">
        <f t="shared" ca="1" si="9"/>
        <v>1082198.5507512265</v>
      </c>
      <c r="Q50" s="32">
        <f t="shared" ca="1" si="10"/>
        <v>418852.05423152016</v>
      </c>
      <c r="R50" s="32">
        <f t="shared" si="11"/>
        <v>663346.49651970575</v>
      </c>
      <c r="T50" s="32">
        <f t="shared" ca="1" si="0"/>
        <v>0</v>
      </c>
      <c r="U50" s="32">
        <f t="shared" ca="1" si="1"/>
        <v>0</v>
      </c>
      <c r="V50" s="34">
        <f t="shared" ca="1" si="2"/>
        <v>236343.52864672846</v>
      </c>
    </row>
    <row r="51" spans="4:25" x14ac:dyDescent="0.25">
      <c r="E51" s="30">
        <f t="shared" si="5"/>
        <v>11</v>
      </c>
      <c r="F51" s="37">
        <f t="shared" si="3"/>
        <v>598.73693923837868</v>
      </c>
      <c r="G51" s="32">
        <f>NPV(DiscountRate,J51:J$55)*(1+DiscountRate)</f>
        <v>1320558.314374232</v>
      </c>
      <c r="H51" s="32">
        <f>NPV(DiscountRate,K51:K$55)</f>
        <v>2033241.2689651775</v>
      </c>
      <c r="I51" s="32">
        <f ca="1">NPV(DiscountRate,F87:$F$91)*(1+DiscountRate)</f>
        <v>1369894.7724454713</v>
      </c>
      <c r="J51" s="32">
        <f t="shared" si="12"/>
        <v>311198.03767374356</v>
      </c>
      <c r="K51" s="32">
        <f t="shared" si="6"/>
        <v>374210.58702398668</v>
      </c>
      <c r="L51" s="32">
        <f t="shared" ca="1" si="7"/>
        <v>48768.880594873954</v>
      </c>
      <c r="M51" s="32">
        <f t="shared" ca="1" si="4"/>
        <v>-104370.1445148621</v>
      </c>
      <c r="N51" s="32">
        <f t="shared" ca="1" si="13"/>
        <v>90126.475759492954</v>
      </c>
      <c r="O51" s="33">
        <f t="shared" ca="1" si="8"/>
        <v>0.2798177044800817</v>
      </c>
      <c r="P51" s="34">
        <f t="shared" ca="1" si="9"/>
        <v>977828.40623636439</v>
      </c>
      <c r="Q51" s="32">
        <f t="shared" ca="1" si="10"/>
        <v>284367.38625405333</v>
      </c>
      <c r="R51" s="32">
        <f t="shared" si="11"/>
        <v>693461.01998231118</v>
      </c>
      <c r="T51" s="32">
        <f t="shared" ca="1" si="0"/>
        <v>0</v>
      </c>
      <c r="U51" s="32">
        <f t="shared" ca="1" si="1"/>
        <v>0</v>
      </c>
      <c r="V51" s="34">
        <f t="shared" ca="1" si="2"/>
        <v>314336.89310014882</v>
      </c>
    </row>
    <row r="52" spans="4:25" x14ac:dyDescent="0.25">
      <c r="E52" s="30">
        <f t="shared" si="5"/>
        <v>12</v>
      </c>
      <c r="F52" s="37">
        <f t="shared" si="3"/>
        <v>568.80009227645974</v>
      </c>
      <c r="G52" s="32">
        <f>NPV(DiscountRate,J52:J$55)*(1+DiscountRate)</f>
        <v>1044687.8863850054</v>
      </c>
      <c r="H52" s="32">
        <f>NPV(DiscountRate,K52:K$55)</f>
        <v>1730194.1263549714</v>
      </c>
      <c r="I52" s="32">
        <f ca="1">NPV(DiscountRate,F88:$F$91)*(1+DiscountRate)</f>
        <v>1036733.1063726604</v>
      </c>
      <c r="J52" s="32">
        <f t="shared" si="12"/>
        <v>295638.13579005637</v>
      </c>
      <c r="K52" s="32">
        <f t="shared" si="6"/>
        <v>395316.06413213949</v>
      </c>
      <c r="L52" s="32">
        <f t="shared" ca="1" si="7"/>
        <v>44571.328970924733</v>
      </c>
      <c r="M52" s="32">
        <f t="shared" ca="1" si="4"/>
        <v>-140726.75134267588</v>
      </c>
      <c r="N52" s="32">
        <f t="shared" ca="1" si="13"/>
        <v>85620.15197151748</v>
      </c>
      <c r="O52" s="33">
        <f t="shared" ca="1" si="8"/>
        <v>0.27981770448007898</v>
      </c>
      <c r="P52" s="34">
        <f t="shared" ca="1" si="9"/>
        <v>837101.65489368851</v>
      </c>
      <c r="Q52" s="32">
        <f t="shared" ca="1" si="10"/>
        <v>172993.66361697263</v>
      </c>
      <c r="R52" s="32">
        <f t="shared" si="11"/>
        <v>664107.99127671577</v>
      </c>
      <c r="T52" s="32">
        <f t="shared" ca="1" si="0"/>
        <v>0</v>
      </c>
      <c r="U52" s="32">
        <f t="shared" ca="1" si="1"/>
        <v>0</v>
      </c>
      <c r="V52" s="34">
        <f t="shared" ca="1" si="2"/>
        <v>395316.06413213949</v>
      </c>
    </row>
    <row r="53" spans="4:25" x14ac:dyDescent="0.25">
      <c r="E53" s="30">
        <f t="shared" si="5"/>
        <v>13</v>
      </c>
      <c r="F53" s="37">
        <f t="shared" si="3"/>
        <v>540.36008766263672</v>
      </c>
      <c r="G53" s="32">
        <f>NPV(DiscountRate,J53:J$55)*(1+DiscountRate)</f>
        <v>775266.49186577229</v>
      </c>
      <c r="H53" s="32">
        <f>NPV(DiscountRate,K53:K$55)</f>
        <v>1395434.856645256</v>
      </c>
      <c r="I53" s="32">
        <f ca="1">NPV(DiscountRate,F89:$F$91)*(1+DiscountRate)</f>
        <v>731326.86536854017</v>
      </c>
      <c r="J53" s="32">
        <f t="shared" si="12"/>
        <v>280856.22900055355</v>
      </c>
      <c r="K53" s="32">
        <f t="shared" si="6"/>
        <v>428235.36947263964</v>
      </c>
      <c r="L53" s="32">
        <f t="shared" ca="1" si="7"/>
        <v>39128.52593629848</v>
      </c>
      <c r="M53" s="32">
        <f t="shared" ca="1" si="4"/>
        <v>-189589.75890872965</v>
      </c>
      <c r="N53" s="32">
        <f t="shared" ca="1" si="13"/>
        <v>81339.144372942043</v>
      </c>
      <c r="O53" s="33">
        <f t="shared" ca="1" si="8"/>
        <v>0.27981770448008053</v>
      </c>
      <c r="P53" s="34">
        <f t="shared" ca="1" si="9"/>
        <v>647511.89598495886</v>
      </c>
      <c r="Q53" s="32">
        <f t="shared" ca="1" si="10"/>
        <v>75161.050979551394</v>
      </c>
      <c r="R53" s="32">
        <f t="shared" si="11"/>
        <v>572350.84500540746</v>
      </c>
      <c r="T53" s="32">
        <f t="shared" ca="1" si="0"/>
        <v>0</v>
      </c>
      <c r="U53" s="32">
        <f t="shared" ca="1" si="1"/>
        <v>0</v>
      </c>
      <c r="V53" s="34">
        <f t="shared" ca="1" si="2"/>
        <v>428235.36947263964</v>
      </c>
    </row>
    <row r="54" spans="4:25" x14ac:dyDescent="0.25">
      <c r="E54" s="30">
        <f t="shared" si="5"/>
        <v>14</v>
      </c>
      <c r="F54" s="37">
        <f t="shared" si="3"/>
        <v>513.34208327950489</v>
      </c>
      <c r="G54" s="32">
        <f>NPV(DiscountRate,J54:J$55)*(1+DiscountRate)</f>
        <v>511714.62206550129</v>
      </c>
      <c r="H54" s="32">
        <f>NPV(DiscountRate,K54:K$55)</f>
        <v>1016039.7071552001</v>
      </c>
      <c r="I54" s="32">
        <f ca="1">NPV(DiscountRate,F90:$F$91)*(1+DiscountRate)</f>
        <v>443688.86214979261</v>
      </c>
      <c r="J54" s="32">
        <f t="shared" si="12"/>
        <v>266813.41755052586</v>
      </c>
      <c r="K54" s="32">
        <f t="shared" si="6"/>
        <v>483824.91349093331</v>
      </c>
      <c r="L54" s="32">
        <f t="shared" ca="1" si="7"/>
        <v>32001.38597374197</v>
      </c>
      <c r="M54" s="32">
        <f t="shared" ca="1" si="4"/>
        <v>-262282.2971209602</v>
      </c>
      <c r="N54" s="32">
        <f t="shared" ca="1" si="13"/>
        <v>77272.187154294748</v>
      </c>
      <c r="O54" s="33">
        <f t="shared" ca="1" si="8"/>
        <v>0.27981770448007981</v>
      </c>
      <c r="P54" s="34">
        <f t="shared" ca="1" si="9"/>
        <v>385229.59886399866</v>
      </c>
      <c r="Q54" s="32">
        <f t="shared" ca="1" si="10"/>
        <v>5926.8373296978243</v>
      </c>
      <c r="R54" s="32">
        <f t="shared" si="11"/>
        <v>379302.76153430087</v>
      </c>
      <c r="T54" s="32">
        <f t="shared" ca="1" si="0"/>
        <v>0</v>
      </c>
      <c r="U54" s="32">
        <f t="shared" ca="1" si="1"/>
        <v>0</v>
      </c>
      <c r="V54" s="34">
        <f t="shared" ca="1" si="2"/>
        <v>483824.91349093331</v>
      </c>
    </row>
    <row r="55" spans="4:25" x14ac:dyDescent="0.25">
      <c r="E55" s="38">
        <f t="shared" si="5"/>
        <v>15</v>
      </c>
      <c r="F55" s="39">
        <f t="shared" si="3"/>
        <v>487.6749791155296</v>
      </c>
      <c r="G55" s="40">
        <f>NPV(DiscountRate,J55:J$55)*(1+DiscountRate)</f>
        <v>253472.74667299952</v>
      </c>
      <c r="H55" s="40">
        <f>NPV(DiscountRate,K55:K$55)</f>
        <v>567776.18341469869</v>
      </c>
      <c r="I55" s="40">
        <f ca="1">NPV(DiscountRate,F91:$F$91)*(1+DiscountRate)</f>
        <v>188473.42188039789</v>
      </c>
      <c r="J55" s="40">
        <f t="shared" si="12"/>
        <v>253472.74667299952</v>
      </c>
      <c r="K55" s="40">
        <f t="shared" si="6"/>
        <v>587648.34983421315</v>
      </c>
      <c r="L55" s="40">
        <f t="shared" ca="1" si="7"/>
        <v>22354.582093794939</v>
      </c>
      <c r="M55" s="40">
        <f t="shared" ca="1" si="4"/>
        <v>-385229.59886399866</v>
      </c>
      <c r="N55" s="40">
        <f t="shared" ca="1" si="13"/>
        <v>73408.577796579979</v>
      </c>
      <c r="O55" s="41">
        <f t="shared" ca="1" si="8"/>
        <v>0.27981770448007975</v>
      </c>
      <c r="P55" s="42">
        <f t="shared" ca="1" si="9"/>
        <v>0</v>
      </c>
      <c r="Q55" s="40">
        <f t="shared" ca="1" si="10"/>
        <v>0</v>
      </c>
      <c r="R55" s="40">
        <f t="shared" si="11"/>
        <v>0</v>
      </c>
      <c r="T55" s="40">
        <f t="shared" ca="1" si="0"/>
        <v>0</v>
      </c>
      <c r="U55" s="40">
        <f t="shared" ca="1" si="1"/>
        <v>0</v>
      </c>
      <c r="V55" s="42">
        <f t="shared" ca="1" si="2"/>
        <v>587648.34983421315</v>
      </c>
    </row>
    <row r="56" spans="4:25" x14ac:dyDescent="0.25">
      <c r="F56" s="47"/>
      <c r="G56" s="47"/>
      <c r="H56" s="47"/>
      <c r="I56" s="47"/>
      <c r="J56" s="47"/>
      <c r="K56" s="47"/>
      <c r="L56" s="47"/>
      <c r="M56" s="47"/>
      <c r="N56" s="47"/>
      <c r="O56" s="47"/>
      <c r="P56" s="47"/>
      <c r="Q56" s="47"/>
      <c r="R56" s="47"/>
      <c r="S56" s="47"/>
    </row>
    <row r="57" spans="4:25" x14ac:dyDescent="0.25">
      <c r="D57" s="2" t="s">
        <v>39</v>
      </c>
      <c r="G57" s="49" t="s">
        <v>16</v>
      </c>
      <c r="H57" s="50"/>
    </row>
    <row r="58" spans="4:25" x14ac:dyDescent="0.25">
      <c r="E58" s="3" t="s">
        <v>12</v>
      </c>
      <c r="F58" s="53" t="s">
        <v>5</v>
      </c>
      <c r="G58" s="54">
        <v>1</v>
      </c>
      <c r="H58" s="54">
        <f>G58+1</f>
        <v>2</v>
      </c>
      <c r="I58" s="54">
        <f t="shared" ref="I58:U58" si="14">H58+1</f>
        <v>3</v>
      </c>
      <c r="J58" s="54">
        <f t="shared" si="14"/>
        <v>4</v>
      </c>
      <c r="K58" s="54">
        <f t="shared" si="14"/>
        <v>5</v>
      </c>
      <c r="L58" s="54">
        <f t="shared" si="14"/>
        <v>6</v>
      </c>
      <c r="M58" s="54">
        <f t="shared" si="14"/>
        <v>7</v>
      </c>
      <c r="N58" s="54">
        <f t="shared" si="14"/>
        <v>8</v>
      </c>
      <c r="O58" s="54">
        <f t="shared" si="14"/>
        <v>9</v>
      </c>
      <c r="P58" s="54">
        <f t="shared" si="14"/>
        <v>10</v>
      </c>
      <c r="Q58" s="54">
        <f t="shared" si="14"/>
        <v>11</v>
      </c>
      <c r="R58" s="54">
        <f t="shared" si="14"/>
        <v>12</v>
      </c>
      <c r="S58" s="54">
        <f t="shared" si="14"/>
        <v>13</v>
      </c>
      <c r="T58" s="54">
        <f t="shared" si="14"/>
        <v>14</v>
      </c>
      <c r="U58" s="54">
        <f t="shared" si="14"/>
        <v>15</v>
      </c>
    </row>
    <row r="59" spans="4:25" x14ac:dyDescent="0.25">
      <c r="E59" s="3">
        <v>1</v>
      </c>
      <c r="F59" s="82">
        <f t="shared" ref="F59:F73" ca="1" si="15">NPV(DiscountRate,OFFSET(G59,0,E59-1,1,5))</f>
        <v>91.231597440082965</v>
      </c>
      <c r="G59" s="83">
        <f>'Base Case'!G60</f>
        <v>25</v>
      </c>
      <c r="H59" s="83">
        <f>'Base Case'!H60</f>
        <v>21.25</v>
      </c>
      <c r="I59" s="83">
        <f>'Base Case'!I60</f>
        <v>18.0625</v>
      </c>
      <c r="J59" s="89">
        <f>'Claims Shock'!J59</f>
        <v>18.0625</v>
      </c>
      <c r="K59" s="101">
        <f>'Update Assumptions'!K59</f>
        <v>18.0625</v>
      </c>
      <c r="L59" s="15"/>
      <c r="M59" s="15"/>
      <c r="N59" s="15"/>
      <c r="O59" s="15"/>
      <c r="P59" s="15"/>
      <c r="Q59" s="15"/>
      <c r="R59" s="15"/>
      <c r="S59" s="15"/>
      <c r="T59" s="15"/>
      <c r="U59" s="15"/>
    </row>
    <row r="60" spans="4:25" x14ac:dyDescent="0.25">
      <c r="E60" s="3">
        <f>E59+1</f>
        <v>2</v>
      </c>
      <c r="F60" s="82">
        <f t="shared" ca="1" si="15"/>
        <v>148.01018234214499</v>
      </c>
      <c r="G60" s="15"/>
      <c r="H60" s="83">
        <f>'Base Case'!H61</f>
        <v>37.5</v>
      </c>
      <c r="I60" s="83">
        <f>'Base Case'!I61</f>
        <v>31.875</v>
      </c>
      <c r="J60" s="89">
        <f>'Claims Shock'!J60</f>
        <v>31.875</v>
      </c>
      <c r="K60" s="101">
        <f>'Update Assumptions'!K60</f>
        <v>31.875</v>
      </c>
      <c r="L60" s="15">
        <f>K60*(1-ClaimTerm)</f>
        <v>30.28125</v>
      </c>
      <c r="M60" s="15"/>
      <c r="N60" s="15"/>
      <c r="O60" s="15"/>
      <c r="P60" s="15"/>
      <c r="Q60" s="15"/>
      <c r="R60" s="15"/>
      <c r="S60" s="15"/>
      <c r="T60" s="15"/>
      <c r="U60" s="15"/>
    </row>
    <row r="61" spans="4:25" x14ac:dyDescent="0.25">
      <c r="E61" s="3">
        <f t="shared" ref="E61:E73" si="16">E60+1</f>
        <v>3</v>
      </c>
      <c r="F61" s="82">
        <f t="shared" ca="1" si="15"/>
        <v>219.4693940158557</v>
      </c>
      <c r="G61" s="15"/>
      <c r="H61" s="15"/>
      <c r="I61" s="83">
        <f>'Base Case'!I62</f>
        <v>50</v>
      </c>
      <c r="J61" s="89">
        <f>'Claims Shock'!J61</f>
        <v>50</v>
      </c>
      <c r="K61" s="101">
        <f>'Update Assumptions'!K61</f>
        <v>50</v>
      </c>
      <c r="L61" s="15">
        <f>K61*(1-ClaimTerm)</f>
        <v>47.5</v>
      </c>
      <c r="M61" s="15">
        <f>L61*(1-ClaimTerm)</f>
        <v>45.125</v>
      </c>
      <c r="N61" s="15"/>
      <c r="O61" s="15"/>
      <c r="P61" s="15"/>
      <c r="Q61" s="15"/>
      <c r="R61" s="15"/>
      <c r="S61" s="15"/>
      <c r="T61" s="15"/>
      <c r="U61" s="15"/>
      <c r="V61" s="15"/>
    </row>
    <row r="62" spans="4:25" x14ac:dyDescent="0.25">
      <c r="E62" s="3">
        <f t="shared" si="16"/>
        <v>4</v>
      </c>
      <c r="F62" s="82">
        <f t="shared" ca="1" si="15"/>
        <v>266.55645000397129</v>
      </c>
      <c r="G62" s="15"/>
      <c r="H62" s="15"/>
      <c r="I62" s="15"/>
      <c r="J62" s="89">
        <f>'Claims Shock'!J62</f>
        <v>62.5</v>
      </c>
      <c r="K62" s="101">
        <f>'Update Assumptions'!K62</f>
        <v>62.5</v>
      </c>
      <c r="L62" s="15">
        <f>K62*(1-ClaimTerm)</f>
        <v>59.375</v>
      </c>
      <c r="M62" s="15">
        <f>L62*(1-ClaimTerm)</f>
        <v>56.40625</v>
      </c>
      <c r="N62" s="15">
        <f>M62*(1-ClaimTerm)</f>
        <v>53.5859375</v>
      </c>
      <c r="O62" s="15"/>
      <c r="P62" s="15"/>
      <c r="Q62" s="15"/>
      <c r="R62" s="15"/>
      <c r="S62" s="15"/>
      <c r="T62" s="15"/>
      <c r="U62" s="15"/>
      <c r="V62" s="15"/>
      <c r="W62" s="15"/>
    </row>
    <row r="63" spans="4:25" x14ac:dyDescent="0.25">
      <c r="E63" s="3">
        <f t="shared" si="16"/>
        <v>5</v>
      </c>
      <c r="F63" s="82">
        <f t="shared" ca="1" si="15"/>
        <v>307.49754141032435</v>
      </c>
      <c r="G63" s="15"/>
      <c r="H63" s="15"/>
      <c r="I63" s="15"/>
      <c r="J63" s="15"/>
      <c r="K63" s="101">
        <f>'Update Assumptions'!K63</f>
        <v>75</v>
      </c>
      <c r="L63" s="15">
        <f>K63*(1-ClaimTerm)</f>
        <v>71.25</v>
      </c>
      <c r="M63" s="15">
        <f>L63*(1-ClaimTerm)</f>
        <v>67.6875</v>
      </c>
      <c r="N63" s="15">
        <f>M63*(1-ClaimTerm)</f>
        <v>64.303124999999994</v>
      </c>
      <c r="O63" s="15">
        <f>N63*(1-ClaimTerm)</f>
        <v>61.087968749999995</v>
      </c>
      <c r="P63" s="15"/>
      <c r="Q63" s="15"/>
      <c r="R63" s="15"/>
      <c r="S63" s="15"/>
      <c r="T63" s="15"/>
      <c r="U63" s="15"/>
      <c r="V63" s="15"/>
      <c r="W63" s="15"/>
      <c r="X63" s="15"/>
    </row>
    <row r="64" spans="4:25" x14ac:dyDescent="0.25">
      <c r="E64" s="3">
        <f t="shared" si="16"/>
        <v>6</v>
      </c>
      <c r="F64" s="82">
        <f t="shared" ca="1" si="15"/>
        <v>358.74713164537843</v>
      </c>
      <c r="G64" s="15"/>
      <c r="H64" s="15"/>
      <c r="I64" s="15"/>
      <c r="J64" s="15"/>
      <c r="K64" s="15"/>
      <c r="L64" s="15">
        <v>87.5</v>
      </c>
      <c r="M64" s="15">
        <f>L64*(1-ClaimTerm)</f>
        <v>83.125</v>
      </c>
      <c r="N64" s="15">
        <f>M64*(1-ClaimTerm)</f>
        <v>78.96875</v>
      </c>
      <c r="O64" s="15">
        <f>N64*(1-ClaimTerm)</f>
        <v>75.020312500000003</v>
      </c>
      <c r="P64" s="15">
        <f>O64*(1-ClaimTerm)</f>
        <v>71.269296874999995</v>
      </c>
      <c r="Q64" s="15"/>
      <c r="R64" s="15"/>
      <c r="S64" s="15"/>
      <c r="T64" s="15"/>
      <c r="U64" s="15"/>
      <c r="V64" s="15"/>
      <c r="W64" s="15"/>
      <c r="X64" s="15"/>
      <c r="Y64" s="15"/>
    </row>
    <row r="65" spans="4:29" x14ac:dyDescent="0.25">
      <c r="E65" s="3">
        <f t="shared" si="16"/>
        <v>7</v>
      </c>
      <c r="F65" s="82">
        <f t="shared" ca="1" si="15"/>
        <v>409.99672188043246</v>
      </c>
      <c r="G65" s="15"/>
      <c r="H65" s="15"/>
      <c r="I65" s="15"/>
      <c r="J65" s="15"/>
      <c r="K65" s="15"/>
      <c r="L65" s="15"/>
      <c r="M65" s="15">
        <v>100</v>
      </c>
      <c r="N65" s="15">
        <f>M65*(1-ClaimTerm)</f>
        <v>95</v>
      </c>
      <c r="O65" s="15">
        <f>N65*(1-ClaimTerm)</f>
        <v>90.25</v>
      </c>
      <c r="P65" s="15">
        <f>O65*(1-ClaimTerm)</f>
        <v>85.737499999999997</v>
      </c>
      <c r="Q65" s="15">
        <f>P65*(1-ClaimTerm)</f>
        <v>81.450624999999988</v>
      </c>
      <c r="R65" s="15"/>
      <c r="S65" s="15"/>
      <c r="T65" s="15"/>
      <c r="U65" s="15"/>
      <c r="V65" s="15"/>
      <c r="W65" s="15"/>
      <c r="X65" s="15"/>
      <c r="Y65" s="15"/>
      <c r="Z65" s="15"/>
    </row>
    <row r="66" spans="4:29" x14ac:dyDescent="0.25">
      <c r="E66" s="3">
        <f t="shared" si="16"/>
        <v>8</v>
      </c>
      <c r="F66" s="82">
        <f t="shared" ca="1" si="15"/>
        <v>461.24631211548649</v>
      </c>
      <c r="G66" s="15"/>
      <c r="H66" s="15"/>
      <c r="I66" s="15"/>
      <c r="J66" s="15"/>
      <c r="K66" s="15"/>
      <c r="L66" s="15"/>
      <c r="M66" s="15"/>
      <c r="N66" s="15">
        <v>112.5</v>
      </c>
      <c r="O66" s="15">
        <f>N66*(1-ClaimTerm)</f>
        <v>106.875</v>
      </c>
      <c r="P66" s="15">
        <f>O66*(1-ClaimTerm)</f>
        <v>101.53125</v>
      </c>
      <c r="Q66" s="15">
        <f>P66*(1-ClaimTerm)</f>
        <v>96.454687499999991</v>
      </c>
      <c r="R66" s="15">
        <f>Q66*(1-ClaimTerm)</f>
        <v>91.631953124999981</v>
      </c>
      <c r="S66" s="15"/>
      <c r="T66" s="15"/>
      <c r="U66" s="15"/>
      <c r="V66" s="15"/>
      <c r="W66" s="15"/>
      <c r="X66" s="15"/>
      <c r="Y66" s="15"/>
      <c r="Z66" s="15"/>
      <c r="AA66" s="15"/>
    </row>
    <row r="67" spans="4:29" x14ac:dyDescent="0.25">
      <c r="E67" s="3">
        <f t="shared" si="16"/>
        <v>9</v>
      </c>
      <c r="F67" s="82">
        <f t="shared" ca="1" si="15"/>
        <v>512.49590235054052</v>
      </c>
      <c r="G67" s="15"/>
      <c r="H67" s="15"/>
      <c r="I67" s="15"/>
      <c r="J67" s="15"/>
      <c r="K67" s="15"/>
      <c r="L67" s="15"/>
      <c r="M67" s="15"/>
      <c r="N67" s="15"/>
      <c r="O67" s="15">
        <v>125</v>
      </c>
      <c r="P67" s="15">
        <f>O67*(1-ClaimTerm)</f>
        <v>118.75</v>
      </c>
      <c r="Q67" s="15">
        <f>P67*(1-ClaimTerm)</f>
        <v>112.8125</v>
      </c>
      <c r="R67" s="15">
        <f>Q67*(1-ClaimTerm)</f>
        <v>107.171875</v>
      </c>
      <c r="S67" s="15">
        <f>R67*(1-ClaimTerm)</f>
        <v>101.81328124999999</v>
      </c>
      <c r="T67" s="15"/>
      <c r="U67" s="15"/>
      <c r="V67" s="15"/>
      <c r="W67" s="15"/>
      <c r="X67" s="15"/>
      <c r="Y67" s="15"/>
      <c r="Z67" s="15"/>
      <c r="AA67" s="15"/>
      <c r="AB67" s="15"/>
    </row>
    <row r="68" spans="4:29" x14ac:dyDescent="0.25">
      <c r="E68" s="3">
        <f t="shared" si="16"/>
        <v>10</v>
      </c>
      <c r="F68" s="82">
        <f t="shared" ca="1" si="15"/>
        <v>563.74549258559477</v>
      </c>
      <c r="G68" s="15"/>
      <c r="H68" s="15"/>
      <c r="I68" s="15"/>
      <c r="J68" s="15"/>
      <c r="K68" s="15"/>
      <c r="L68" s="15"/>
      <c r="M68" s="15"/>
      <c r="N68" s="15"/>
      <c r="O68" s="15"/>
      <c r="P68" s="15">
        <v>137.50000000000006</v>
      </c>
      <c r="Q68" s="15">
        <f>P68*(1-ClaimTerm)</f>
        <v>130.62500000000006</v>
      </c>
      <c r="R68" s="15">
        <f>Q68*(1-ClaimTerm)</f>
        <v>124.09375000000004</v>
      </c>
      <c r="S68" s="15">
        <f>R68*(1-ClaimTerm)</f>
        <v>117.88906250000004</v>
      </c>
      <c r="T68" s="15">
        <f>S68*(1-ClaimTerm)</f>
        <v>111.99460937500002</v>
      </c>
      <c r="U68" s="15"/>
      <c r="V68" s="15"/>
      <c r="W68" s="15"/>
      <c r="X68" s="15"/>
      <c r="Y68" s="15"/>
      <c r="Z68" s="15"/>
      <c r="AA68" s="15"/>
      <c r="AB68" s="15"/>
      <c r="AC68" s="15"/>
    </row>
    <row r="69" spans="4:29" x14ac:dyDescent="0.25">
      <c r="E69" s="3">
        <f t="shared" si="16"/>
        <v>11</v>
      </c>
      <c r="F69" s="82">
        <f t="shared" ca="1" si="15"/>
        <v>614.99508282064869</v>
      </c>
      <c r="G69" s="15"/>
      <c r="H69" s="15"/>
      <c r="I69" s="15"/>
      <c r="J69" s="15"/>
      <c r="K69" s="15"/>
      <c r="L69" s="15"/>
      <c r="M69" s="15"/>
      <c r="N69" s="15"/>
      <c r="O69" s="15"/>
      <c r="P69" s="15"/>
      <c r="Q69" s="15">
        <v>150</v>
      </c>
      <c r="R69" s="15">
        <f>Q69*(1-ClaimTerm)</f>
        <v>142.5</v>
      </c>
      <c r="S69" s="15">
        <f>R69*(1-ClaimTerm)</f>
        <v>135.375</v>
      </c>
      <c r="T69" s="15">
        <f>S69*(1-ClaimTerm)</f>
        <v>128.60624999999999</v>
      </c>
      <c r="U69" s="15">
        <f>T69*(1-ClaimTerm)</f>
        <v>122.17593749999999</v>
      </c>
      <c r="V69" s="15"/>
      <c r="W69" s="15"/>
      <c r="X69" s="15"/>
      <c r="Y69" s="15"/>
      <c r="Z69" s="15"/>
      <c r="AA69" s="15"/>
      <c r="AB69" s="15"/>
      <c r="AC69" s="15"/>
    </row>
    <row r="70" spans="4:29" x14ac:dyDescent="0.25">
      <c r="E70" s="3">
        <f t="shared" si="16"/>
        <v>12</v>
      </c>
      <c r="F70" s="82">
        <f t="shared" ca="1" si="15"/>
        <v>580.40971805117977</v>
      </c>
      <c r="G70" s="15"/>
      <c r="H70" s="15"/>
      <c r="I70" s="15"/>
      <c r="J70" s="15"/>
      <c r="K70" s="15"/>
      <c r="L70" s="15"/>
      <c r="M70" s="15"/>
      <c r="N70" s="15"/>
      <c r="O70" s="15"/>
      <c r="P70" s="15"/>
      <c r="Q70" s="15"/>
      <c r="R70" s="15">
        <v>170</v>
      </c>
      <c r="S70" s="15">
        <f>R70*(1-ClaimTerm)</f>
        <v>161.5</v>
      </c>
      <c r="T70" s="15">
        <f>S70*(1-ClaimTerm)</f>
        <v>153.42499999999998</v>
      </c>
      <c r="U70" s="15">
        <f>T70*(1-ClaimTerm)</f>
        <v>145.75374999999997</v>
      </c>
      <c r="V70" s="15"/>
      <c r="W70" s="15"/>
      <c r="X70" s="15"/>
      <c r="Y70" s="15"/>
      <c r="Z70" s="15"/>
      <c r="AA70" s="15"/>
      <c r="AB70" s="15"/>
      <c r="AC70" s="15"/>
    </row>
    <row r="71" spans="4:29" x14ac:dyDescent="0.25">
      <c r="E71" s="3">
        <f t="shared" si="16"/>
        <v>13</v>
      </c>
      <c r="F71" s="82">
        <f t="shared" ca="1" si="15"/>
        <v>560.07462673946702</v>
      </c>
      <c r="G71" s="15"/>
      <c r="H71" s="15"/>
      <c r="I71" s="15"/>
      <c r="J71" s="15"/>
      <c r="K71" s="15"/>
      <c r="L71" s="15"/>
      <c r="M71" s="15"/>
      <c r="N71" s="15"/>
      <c r="O71" s="15"/>
      <c r="P71" s="15"/>
      <c r="Q71" s="15"/>
      <c r="R71" s="15"/>
      <c r="S71" s="15">
        <f>'Assume Rate Increase'!S71</f>
        <v>210</v>
      </c>
      <c r="T71" s="15">
        <f>S71*(1-ClaimTerm)</f>
        <v>199.5</v>
      </c>
      <c r="U71" s="15">
        <f>T71*(1-ClaimTerm)</f>
        <v>189.52499999999998</v>
      </c>
      <c r="V71" s="15"/>
      <c r="W71" s="15"/>
      <c r="X71" s="15"/>
      <c r="Y71" s="15"/>
      <c r="Z71" s="15"/>
      <c r="AA71" s="15"/>
      <c r="AB71" s="15"/>
      <c r="AC71" s="15"/>
    </row>
    <row r="72" spans="4:29" x14ac:dyDescent="0.25">
      <c r="E72" s="3">
        <f t="shared" si="16"/>
        <v>14</v>
      </c>
      <c r="F72" s="82">
        <f t="shared" ca="1" si="15"/>
        <v>509.58015356251025</v>
      </c>
      <c r="G72" s="15"/>
      <c r="H72" s="15"/>
      <c r="I72" s="15"/>
      <c r="J72" s="15"/>
      <c r="K72" s="15"/>
      <c r="L72" s="15"/>
      <c r="M72" s="15"/>
      <c r="N72" s="15"/>
      <c r="O72" s="15"/>
      <c r="P72" s="15"/>
      <c r="Q72" s="15"/>
      <c r="R72" s="15"/>
      <c r="S72" s="15"/>
      <c r="T72" s="15">
        <f>'Assume Rate Increase'!T72</f>
        <v>275</v>
      </c>
      <c r="U72" s="15">
        <f>T72*(1-ClaimTerm)</f>
        <v>261.25</v>
      </c>
      <c r="V72" s="15"/>
      <c r="W72" s="15"/>
      <c r="X72" s="15"/>
      <c r="Y72" s="15"/>
      <c r="Z72" s="15"/>
      <c r="AA72" s="15"/>
      <c r="AB72" s="15"/>
      <c r="AC72" s="15"/>
    </row>
    <row r="73" spans="4:29" x14ac:dyDescent="0.25">
      <c r="E73" s="3">
        <f t="shared" si="16"/>
        <v>15</v>
      </c>
      <c r="F73" s="82">
        <f t="shared" ca="1" si="15"/>
        <v>386.47342995169083</v>
      </c>
      <c r="G73" s="15"/>
      <c r="H73" s="15"/>
      <c r="I73" s="15"/>
      <c r="J73" s="15"/>
      <c r="K73" s="15"/>
      <c r="L73" s="15"/>
      <c r="M73" s="15"/>
      <c r="N73" s="15"/>
      <c r="O73" s="15"/>
      <c r="P73" s="15"/>
      <c r="Q73" s="15"/>
      <c r="R73" s="15"/>
      <c r="S73" s="15"/>
      <c r="T73" s="15"/>
      <c r="U73" s="15">
        <f>'Assume Rate Increase'!U73</f>
        <v>400</v>
      </c>
      <c r="V73" s="15"/>
      <c r="W73" s="15"/>
      <c r="X73" s="15"/>
      <c r="Y73" s="15"/>
      <c r="Z73" s="15"/>
      <c r="AA73" s="15"/>
      <c r="AB73" s="15"/>
      <c r="AC73" s="15"/>
    </row>
    <row r="74" spans="4:29" x14ac:dyDescent="0.25">
      <c r="F74" s="15"/>
      <c r="G74" s="58"/>
      <c r="H74" s="58"/>
      <c r="I74" s="58"/>
      <c r="J74" s="58"/>
      <c r="K74" s="58"/>
      <c r="L74" s="58"/>
      <c r="M74" s="58"/>
      <c r="N74" s="58"/>
      <c r="O74" s="58"/>
      <c r="P74" s="58"/>
      <c r="Q74" s="58"/>
      <c r="R74" s="58"/>
      <c r="S74" s="58"/>
      <c r="T74" s="58"/>
    </row>
    <row r="75" spans="4:29" x14ac:dyDescent="0.25">
      <c r="D75" s="2" t="s">
        <v>40</v>
      </c>
      <c r="F75" s="15"/>
      <c r="G75" s="49" t="s">
        <v>16</v>
      </c>
      <c r="H75" s="58"/>
      <c r="I75" s="58"/>
      <c r="J75" s="58"/>
      <c r="K75" s="58"/>
      <c r="L75" s="58"/>
      <c r="M75" s="58"/>
      <c r="N75" s="58"/>
      <c r="O75" s="58"/>
      <c r="P75" s="58"/>
      <c r="Q75" s="58"/>
      <c r="R75" s="58"/>
      <c r="S75" s="58"/>
      <c r="T75" s="58"/>
    </row>
    <row r="76" spans="4:29" x14ac:dyDescent="0.25">
      <c r="E76" s="3" t="s">
        <v>12</v>
      </c>
      <c r="F76" s="53" t="s">
        <v>5</v>
      </c>
      <c r="G76" s="54">
        <v>1</v>
      </c>
      <c r="H76" s="54">
        <f>G76+1</f>
        <v>2</v>
      </c>
      <c r="I76" s="54">
        <f t="shared" ref="I76:U76" si="17">H76+1</f>
        <v>3</v>
      </c>
      <c r="J76" s="54">
        <f t="shared" si="17"/>
        <v>4</v>
      </c>
      <c r="K76" s="54">
        <f t="shared" si="17"/>
        <v>5</v>
      </c>
      <c r="L76" s="54">
        <f t="shared" si="17"/>
        <v>6</v>
      </c>
      <c r="M76" s="54">
        <f t="shared" si="17"/>
        <v>7</v>
      </c>
      <c r="N76" s="54">
        <f t="shared" si="17"/>
        <v>8</v>
      </c>
      <c r="O76" s="54">
        <f t="shared" si="17"/>
        <v>9</v>
      </c>
      <c r="P76" s="54">
        <f t="shared" si="17"/>
        <v>10</v>
      </c>
      <c r="Q76" s="54">
        <f t="shared" si="17"/>
        <v>11</v>
      </c>
      <c r="R76" s="54">
        <f t="shared" si="17"/>
        <v>12</v>
      </c>
      <c r="S76" s="54">
        <f t="shared" si="17"/>
        <v>13</v>
      </c>
      <c r="T76" s="54">
        <f t="shared" si="17"/>
        <v>14</v>
      </c>
      <c r="U76" s="54">
        <f t="shared" si="17"/>
        <v>15</v>
      </c>
    </row>
    <row r="77" spans="4:29" x14ac:dyDescent="0.25">
      <c r="E77" s="3">
        <v>1</v>
      </c>
      <c r="F77" s="82">
        <f t="shared" ref="F77:U91" ca="1" si="18">F59*$F41</f>
        <v>91231.597440082958</v>
      </c>
      <c r="G77" s="15">
        <f t="shared" si="18"/>
        <v>25000</v>
      </c>
      <c r="H77" s="15">
        <f t="shared" si="18"/>
        <v>21250</v>
      </c>
      <c r="I77" s="15">
        <f t="shared" si="18"/>
        <v>18062.5</v>
      </c>
      <c r="J77" s="15">
        <f t="shared" si="18"/>
        <v>18062.5</v>
      </c>
      <c r="K77" s="15">
        <f t="shared" si="18"/>
        <v>18062.5</v>
      </c>
      <c r="L77" s="15">
        <f t="shared" si="18"/>
        <v>0</v>
      </c>
      <c r="M77" s="15">
        <f t="shared" si="18"/>
        <v>0</v>
      </c>
      <c r="N77" s="15">
        <f t="shared" si="18"/>
        <v>0</v>
      </c>
      <c r="O77" s="15">
        <f t="shared" si="18"/>
        <v>0</v>
      </c>
      <c r="P77" s="15">
        <f t="shared" si="18"/>
        <v>0</v>
      </c>
      <c r="Q77" s="15">
        <f t="shared" si="18"/>
        <v>0</v>
      </c>
      <c r="R77" s="15">
        <f t="shared" si="18"/>
        <v>0</v>
      </c>
      <c r="S77" s="15">
        <f t="shared" si="18"/>
        <v>0</v>
      </c>
      <c r="T77" s="15">
        <f t="shared" si="18"/>
        <v>0</v>
      </c>
      <c r="U77" s="15">
        <f t="shared" si="18"/>
        <v>0</v>
      </c>
    </row>
    <row r="78" spans="4:29" x14ac:dyDescent="0.25">
      <c r="E78" s="3">
        <f>E77+1</f>
        <v>2</v>
      </c>
      <c r="F78" s="82">
        <f t="shared" ca="1" si="18"/>
        <v>140609.67322503772</v>
      </c>
      <c r="G78" s="15">
        <f t="shared" si="18"/>
        <v>0</v>
      </c>
      <c r="H78" s="15">
        <f t="shared" si="18"/>
        <v>35625</v>
      </c>
      <c r="I78" s="15">
        <f t="shared" si="18"/>
        <v>30281.25</v>
      </c>
      <c r="J78" s="15">
        <f t="shared" si="18"/>
        <v>30281.25</v>
      </c>
      <c r="K78" s="15">
        <f t="shared" si="18"/>
        <v>30281.25</v>
      </c>
      <c r="L78" s="15">
        <f t="shared" si="18"/>
        <v>28767.1875</v>
      </c>
      <c r="M78" s="15">
        <f t="shared" si="18"/>
        <v>0</v>
      </c>
      <c r="N78" s="15">
        <f t="shared" si="18"/>
        <v>0</v>
      </c>
      <c r="O78" s="15">
        <f t="shared" si="18"/>
        <v>0</v>
      </c>
      <c r="P78" s="15">
        <f t="shared" si="18"/>
        <v>0</v>
      </c>
      <c r="Q78" s="15">
        <f t="shared" si="18"/>
        <v>0</v>
      </c>
      <c r="R78" s="15">
        <f t="shared" si="18"/>
        <v>0</v>
      </c>
      <c r="S78" s="15">
        <f t="shared" si="18"/>
        <v>0</v>
      </c>
      <c r="T78" s="15">
        <f t="shared" si="18"/>
        <v>0</v>
      </c>
      <c r="U78" s="15">
        <f t="shared" si="18"/>
        <v>0</v>
      </c>
    </row>
    <row r="79" spans="4:29" x14ac:dyDescent="0.25">
      <c r="E79" s="3">
        <f t="shared" ref="E79:E91" si="19">E78+1</f>
        <v>3</v>
      </c>
      <c r="F79" s="82">
        <f t="shared" ca="1" si="18"/>
        <v>198071.12809930978</v>
      </c>
      <c r="G79" s="15">
        <f t="shared" si="18"/>
        <v>0</v>
      </c>
      <c r="H79" s="15">
        <f t="shared" si="18"/>
        <v>0</v>
      </c>
      <c r="I79" s="15">
        <f t="shared" si="18"/>
        <v>45125</v>
      </c>
      <c r="J79" s="15">
        <f t="shared" si="18"/>
        <v>45125</v>
      </c>
      <c r="K79" s="15">
        <f t="shared" si="18"/>
        <v>45125</v>
      </c>
      <c r="L79" s="15">
        <f t="shared" si="18"/>
        <v>42868.75</v>
      </c>
      <c r="M79" s="15">
        <f t="shared" si="18"/>
        <v>40725.3125</v>
      </c>
      <c r="N79" s="15">
        <f t="shared" si="18"/>
        <v>0</v>
      </c>
      <c r="O79" s="15">
        <f t="shared" si="18"/>
        <v>0</v>
      </c>
      <c r="P79" s="15">
        <f t="shared" si="18"/>
        <v>0</v>
      </c>
      <c r="Q79" s="15">
        <f t="shared" si="18"/>
        <v>0</v>
      </c>
      <c r="R79" s="15">
        <f t="shared" si="18"/>
        <v>0</v>
      </c>
      <c r="S79" s="15">
        <f t="shared" si="18"/>
        <v>0</v>
      </c>
      <c r="T79" s="15">
        <f t="shared" si="18"/>
        <v>0</v>
      </c>
      <c r="U79" s="15">
        <f t="shared" si="18"/>
        <v>0</v>
      </c>
    </row>
    <row r="80" spans="4:29" x14ac:dyDescent="0.25">
      <c r="E80" s="3">
        <f t="shared" si="19"/>
        <v>4</v>
      </c>
      <c r="F80" s="82">
        <f t="shared" ca="1" si="18"/>
        <v>228538.83632215488</v>
      </c>
      <c r="G80" s="15">
        <f t="shared" si="18"/>
        <v>0</v>
      </c>
      <c r="H80" s="15">
        <f t="shared" si="18"/>
        <v>0</v>
      </c>
      <c r="I80" s="15">
        <f t="shared" si="18"/>
        <v>0</v>
      </c>
      <c r="J80" s="15">
        <f t="shared" si="18"/>
        <v>53585.9375</v>
      </c>
      <c r="K80" s="15">
        <f t="shared" si="18"/>
        <v>53585.9375</v>
      </c>
      <c r="L80" s="15">
        <f t="shared" si="18"/>
        <v>50906.640625</v>
      </c>
      <c r="M80" s="15">
        <f t="shared" si="18"/>
        <v>48361.30859375</v>
      </c>
      <c r="N80" s="15">
        <f t="shared" si="18"/>
        <v>45943.2431640625</v>
      </c>
      <c r="O80" s="15">
        <f t="shared" si="18"/>
        <v>0</v>
      </c>
      <c r="P80" s="15">
        <f t="shared" si="18"/>
        <v>0</v>
      </c>
      <c r="Q80" s="15">
        <f t="shared" si="18"/>
        <v>0</v>
      </c>
      <c r="R80" s="15">
        <f t="shared" si="18"/>
        <v>0</v>
      </c>
      <c r="S80" s="15">
        <f t="shared" si="18"/>
        <v>0</v>
      </c>
      <c r="T80" s="15">
        <f t="shared" si="18"/>
        <v>0</v>
      </c>
      <c r="U80" s="15">
        <f t="shared" si="18"/>
        <v>0</v>
      </c>
    </row>
    <row r="81" spans="4:21" x14ac:dyDescent="0.25">
      <c r="E81" s="3">
        <f t="shared" si="19"/>
        <v>5</v>
      </c>
      <c r="F81" s="82">
        <f t="shared" ca="1" si="18"/>
        <v>250458.66933834297</v>
      </c>
      <c r="G81" s="15">
        <f t="shared" si="18"/>
        <v>0</v>
      </c>
      <c r="H81" s="15">
        <f t="shared" si="18"/>
        <v>0</v>
      </c>
      <c r="I81" s="15">
        <f t="shared" si="18"/>
        <v>0</v>
      </c>
      <c r="J81" s="15">
        <f t="shared" si="18"/>
        <v>0</v>
      </c>
      <c r="K81" s="15">
        <f t="shared" si="18"/>
        <v>61087.968749999993</v>
      </c>
      <c r="L81" s="15">
        <f t="shared" si="18"/>
        <v>58033.570312499993</v>
      </c>
      <c r="M81" s="15">
        <f t="shared" si="18"/>
        <v>55131.891796874996</v>
      </c>
      <c r="N81" s="15">
        <f t="shared" si="18"/>
        <v>52375.297207031239</v>
      </c>
      <c r="O81" s="15">
        <f t="shared" si="18"/>
        <v>49756.532346679676</v>
      </c>
      <c r="P81" s="15">
        <f t="shared" si="18"/>
        <v>0</v>
      </c>
      <c r="Q81" s="15">
        <f t="shared" si="18"/>
        <v>0</v>
      </c>
      <c r="R81" s="15">
        <f t="shared" si="18"/>
        <v>0</v>
      </c>
      <c r="S81" s="15">
        <f t="shared" si="18"/>
        <v>0</v>
      </c>
      <c r="T81" s="15">
        <f t="shared" si="18"/>
        <v>0</v>
      </c>
      <c r="U81" s="15">
        <f t="shared" si="18"/>
        <v>0</v>
      </c>
    </row>
    <row r="82" spans="4:21" x14ac:dyDescent="0.25">
      <c r="E82" s="3">
        <f t="shared" si="19"/>
        <v>6</v>
      </c>
      <c r="F82" s="82">
        <f t="shared" ca="1" si="18"/>
        <v>277591.6918499968</v>
      </c>
      <c r="G82" s="15">
        <f t="shared" si="18"/>
        <v>0</v>
      </c>
      <c r="H82" s="15">
        <f t="shared" si="18"/>
        <v>0</v>
      </c>
      <c r="I82" s="15">
        <f t="shared" si="18"/>
        <v>0</v>
      </c>
      <c r="J82" s="15">
        <f t="shared" si="18"/>
        <v>0</v>
      </c>
      <c r="K82" s="15">
        <f t="shared" si="18"/>
        <v>0</v>
      </c>
      <c r="L82" s="15">
        <f t="shared" si="18"/>
        <v>67705.832031249985</v>
      </c>
      <c r="M82" s="15">
        <f t="shared" si="18"/>
        <v>64320.540429687484</v>
      </c>
      <c r="N82" s="15">
        <f t="shared" si="18"/>
        <v>61104.513408203115</v>
      </c>
      <c r="O82" s="15">
        <f t="shared" si="18"/>
        <v>58049.287737792954</v>
      </c>
      <c r="P82" s="15">
        <f t="shared" si="18"/>
        <v>55146.823350903302</v>
      </c>
      <c r="Q82" s="15">
        <f t="shared" si="18"/>
        <v>0</v>
      </c>
      <c r="R82" s="15">
        <f t="shared" si="18"/>
        <v>0</v>
      </c>
      <c r="S82" s="15">
        <f t="shared" si="18"/>
        <v>0</v>
      </c>
      <c r="T82" s="15">
        <f t="shared" si="18"/>
        <v>0</v>
      </c>
      <c r="U82" s="15">
        <f t="shared" si="18"/>
        <v>0</v>
      </c>
    </row>
    <row r="83" spans="4:21" x14ac:dyDescent="0.25">
      <c r="E83" s="3">
        <f t="shared" si="19"/>
        <v>7</v>
      </c>
      <c r="F83" s="82">
        <f t="shared" ca="1" si="18"/>
        <v>301385.26543713931</v>
      </c>
      <c r="G83" s="15">
        <f t="shared" si="18"/>
        <v>0</v>
      </c>
      <c r="H83" s="15">
        <f t="shared" si="18"/>
        <v>0</v>
      </c>
      <c r="I83" s="15">
        <f t="shared" si="18"/>
        <v>0</v>
      </c>
      <c r="J83" s="15">
        <f t="shared" si="18"/>
        <v>0</v>
      </c>
      <c r="K83" s="15">
        <f t="shared" si="18"/>
        <v>0</v>
      </c>
      <c r="L83" s="15">
        <f t="shared" si="18"/>
        <v>0</v>
      </c>
      <c r="M83" s="15">
        <f t="shared" si="18"/>
        <v>73509.18906249998</v>
      </c>
      <c r="N83" s="15">
        <f t="shared" si="18"/>
        <v>69833.729609374976</v>
      </c>
      <c r="O83" s="15">
        <f t="shared" si="18"/>
        <v>66342.043128906225</v>
      </c>
      <c r="P83" s="15">
        <f t="shared" si="18"/>
        <v>63024.940972460914</v>
      </c>
      <c r="Q83" s="15">
        <f t="shared" si="18"/>
        <v>59873.693923837862</v>
      </c>
      <c r="R83" s="15">
        <f t="shared" si="18"/>
        <v>0</v>
      </c>
      <c r="S83" s="15">
        <f t="shared" si="18"/>
        <v>0</v>
      </c>
      <c r="T83" s="15">
        <f t="shared" si="18"/>
        <v>0</v>
      </c>
      <c r="U83" s="15">
        <f t="shared" si="18"/>
        <v>0</v>
      </c>
    </row>
    <row r="84" spans="4:21" x14ac:dyDescent="0.25">
      <c r="E84" s="3">
        <f t="shared" si="19"/>
        <v>8</v>
      </c>
      <c r="F84" s="82">
        <f t="shared" ca="1" si="18"/>
        <v>322105.50243594259</v>
      </c>
      <c r="G84" s="15">
        <f t="shared" si="18"/>
        <v>0</v>
      </c>
      <c r="H84" s="15">
        <f t="shared" si="18"/>
        <v>0</v>
      </c>
      <c r="I84" s="15">
        <f t="shared" si="18"/>
        <v>0</v>
      </c>
      <c r="J84" s="15">
        <f t="shared" si="18"/>
        <v>0</v>
      </c>
      <c r="K84" s="15">
        <f t="shared" si="18"/>
        <v>0</v>
      </c>
      <c r="L84" s="15">
        <f t="shared" si="18"/>
        <v>0</v>
      </c>
      <c r="M84" s="15">
        <f t="shared" si="18"/>
        <v>0</v>
      </c>
      <c r="N84" s="15">
        <f t="shared" si="18"/>
        <v>78562.945810546851</v>
      </c>
      <c r="O84" s="15">
        <f t="shared" si="18"/>
        <v>74634.798520019496</v>
      </c>
      <c r="P84" s="15">
        <f t="shared" si="18"/>
        <v>70903.058594018526</v>
      </c>
      <c r="Q84" s="15">
        <f t="shared" si="18"/>
        <v>67357.905664317601</v>
      </c>
      <c r="R84" s="15">
        <f t="shared" si="18"/>
        <v>63990.010381101711</v>
      </c>
      <c r="S84" s="15">
        <f t="shared" si="18"/>
        <v>0</v>
      </c>
      <c r="T84" s="15">
        <f t="shared" si="18"/>
        <v>0</v>
      </c>
      <c r="U84" s="15">
        <f t="shared" si="18"/>
        <v>0</v>
      </c>
    </row>
    <row r="85" spans="4:21" x14ac:dyDescent="0.25">
      <c r="E85" s="3">
        <f t="shared" si="19"/>
        <v>9</v>
      </c>
      <c r="F85" s="82">
        <f t="shared" ca="1" si="18"/>
        <v>340000.25257127272</v>
      </c>
      <c r="G85" s="15">
        <f t="shared" si="18"/>
        <v>0</v>
      </c>
      <c r="H85" s="15">
        <f t="shared" si="18"/>
        <v>0</v>
      </c>
      <c r="I85" s="15">
        <f t="shared" si="18"/>
        <v>0</v>
      </c>
      <c r="J85" s="15">
        <f t="shared" si="18"/>
        <v>0</v>
      </c>
      <c r="K85" s="15">
        <f t="shared" si="18"/>
        <v>0</v>
      </c>
      <c r="L85" s="15">
        <f t="shared" si="18"/>
        <v>0</v>
      </c>
      <c r="M85" s="15">
        <f t="shared" si="18"/>
        <v>0</v>
      </c>
      <c r="N85" s="15">
        <f t="shared" si="18"/>
        <v>0</v>
      </c>
      <c r="O85" s="15">
        <f t="shared" si="18"/>
        <v>82927.553911132782</v>
      </c>
      <c r="P85" s="15">
        <f t="shared" si="18"/>
        <v>78781.176215576139</v>
      </c>
      <c r="Q85" s="15">
        <f t="shared" si="18"/>
        <v>74842.117404797333</v>
      </c>
      <c r="R85" s="15">
        <f t="shared" si="18"/>
        <v>71100.01153455746</v>
      </c>
      <c r="S85" s="15">
        <f t="shared" si="18"/>
        <v>67545.010957829581</v>
      </c>
      <c r="T85" s="15">
        <f t="shared" si="18"/>
        <v>0</v>
      </c>
      <c r="U85" s="15">
        <f t="shared" si="18"/>
        <v>0</v>
      </c>
    </row>
    <row r="86" spans="4:21" x14ac:dyDescent="0.25">
      <c r="E86" s="3">
        <f t="shared" si="19"/>
        <v>10</v>
      </c>
      <c r="F86" s="82">
        <f t="shared" ca="1" si="18"/>
        <v>355300.2639369801</v>
      </c>
      <c r="G86" s="15">
        <f t="shared" si="18"/>
        <v>0</v>
      </c>
      <c r="H86" s="15">
        <f t="shared" si="18"/>
        <v>0</v>
      </c>
      <c r="I86" s="15">
        <f t="shared" si="18"/>
        <v>0</v>
      </c>
      <c r="J86" s="15">
        <f t="shared" si="18"/>
        <v>0</v>
      </c>
      <c r="K86" s="15">
        <f t="shared" si="18"/>
        <v>0</v>
      </c>
      <c r="L86" s="15">
        <f t="shared" si="18"/>
        <v>0</v>
      </c>
      <c r="M86" s="15">
        <f t="shared" si="18"/>
        <v>0</v>
      </c>
      <c r="N86" s="15">
        <f t="shared" si="18"/>
        <v>0</v>
      </c>
      <c r="O86" s="15">
        <f t="shared" si="18"/>
        <v>0</v>
      </c>
      <c r="P86" s="15">
        <f t="shared" si="18"/>
        <v>86659.293837133795</v>
      </c>
      <c r="Q86" s="15">
        <f t="shared" si="18"/>
        <v>82326.329145277094</v>
      </c>
      <c r="R86" s="15">
        <f t="shared" si="18"/>
        <v>78210.012688013245</v>
      </c>
      <c r="S86" s="15">
        <f t="shared" si="18"/>
        <v>74299.512053612576</v>
      </c>
      <c r="T86" s="15">
        <f t="shared" si="18"/>
        <v>70584.536450931933</v>
      </c>
      <c r="U86" s="15">
        <f t="shared" si="18"/>
        <v>0</v>
      </c>
    </row>
    <row r="87" spans="4:21" x14ac:dyDescent="0.25">
      <c r="E87" s="3">
        <f t="shared" si="19"/>
        <v>11</v>
      </c>
      <c r="F87" s="82">
        <f t="shared" ca="1" si="18"/>
        <v>368220.2735346884</v>
      </c>
      <c r="G87" s="15">
        <f t="shared" si="18"/>
        <v>0</v>
      </c>
      <c r="H87" s="15">
        <f t="shared" si="18"/>
        <v>0</v>
      </c>
      <c r="I87" s="15">
        <f t="shared" si="18"/>
        <v>0</v>
      </c>
      <c r="J87" s="15">
        <f t="shared" si="18"/>
        <v>0</v>
      </c>
      <c r="K87" s="15">
        <f t="shared" si="18"/>
        <v>0</v>
      </c>
      <c r="L87" s="15">
        <f t="shared" si="18"/>
        <v>0</v>
      </c>
      <c r="M87" s="15">
        <f t="shared" si="18"/>
        <v>0</v>
      </c>
      <c r="N87" s="15">
        <f t="shared" si="18"/>
        <v>0</v>
      </c>
      <c r="O87" s="15">
        <f t="shared" si="18"/>
        <v>0</v>
      </c>
      <c r="P87" s="15">
        <f t="shared" si="18"/>
        <v>0</v>
      </c>
      <c r="Q87" s="15">
        <f t="shared" si="18"/>
        <v>89810.540885756796</v>
      </c>
      <c r="R87" s="15">
        <f t="shared" si="18"/>
        <v>85320.013841468957</v>
      </c>
      <c r="S87" s="15">
        <f t="shared" si="18"/>
        <v>81054.013149395512</v>
      </c>
      <c r="T87" s="15">
        <f t="shared" si="18"/>
        <v>77001.312491925724</v>
      </c>
      <c r="U87" s="15">
        <f t="shared" si="18"/>
        <v>73151.24686732945</v>
      </c>
    </row>
    <row r="88" spans="4:21" x14ac:dyDescent="0.25">
      <c r="E88" s="3">
        <f t="shared" si="19"/>
        <v>12</v>
      </c>
      <c r="F88" s="82">
        <f t="shared" ca="1" si="18"/>
        <v>330137.101185665</v>
      </c>
      <c r="G88" s="15">
        <f t="shared" si="18"/>
        <v>0</v>
      </c>
      <c r="H88" s="15">
        <f t="shared" si="18"/>
        <v>0</v>
      </c>
      <c r="I88" s="15">
        <f t="shared" si="18"/>
        <v>0</v>
      </c>
      <c r="J88" s="15">
        <f t="shared" si="18"/>
        <v>0</v>
      </c>
      <c r="K88" s="15">
        <f t="shared" si="18"/>
        <v>0</v>
      </c>
      <c r="L88" s="15">
        <f t="shared" si="18"/>
        <v>0</v>
      </c>
      <c r="M88" s="15">
        <f t="shared" si="18"/>
        <v>0</v>
      </c>
      <c r="N88" s="15">
        <f t="shared" si="18"/>
        <v>0</v>
      </c>
      <c r="O88" s="15">
        <f t="shared" si="18"/>
        <v>0</v>
      </c>
      <c r="P88" s="15">
        <f t="shared" si="18"/>
        <v>0</v>
      </c>
      <c r="Q88" s="15">
        <f t="shared" si="18"/>
        <v>0</v>
      </c>
      <c r="R88" s="15">
        <f t="shared" si="18"/>
        <v>96696.015686998158</v>
      </c>
      <c r="S88" s="15">
        <f t="shared" si="18"/>
        <v>91861.214902648251</v>
      </c>
      <c r="T88" s="15">
        <f t="shared" si="18"/>
        <v>87268.154157515819</v>
      </c>
      <c r="U88" s="15">
        <f t="shared" si="18"/>
        <v>82904.746449640021</v>
      </c>
    </row>
    <row r="89" spans="4:21" x14ac:dyDescent="0.25">
      <c r="E89" s="3">
        <f t="shared" si="19"/>
        <v>13</v>
      </c>
      <c r="F89" s="82">
        <f t="shared" ca="1" si="18"/>
        <v>302641.97440255695</v>
      </c>
      <c r="G89" s="15">
        <f t="shared" si="18"/>
        <v>0</v>
      </c>
      <c r="H89" s="15">
        <f t="shared" si="18"/>
        <v>0</v>
      </c>
      <c r="I89" s="15">
        <f t="shared" si="18"/>
        <v>0</v>
      </c>
      <c r="J89" s="15">
        <f t="shared" si="18"/>
        <v>0</v>
      </c>
      <c r="K89" s="15">
        <f t="shared" si="18"/>
        <v>0</v>
      </c>
      <c r="L89" s="15">
        <f t="shared" si="18"/>
        <v>0</v>
      </c>
      <c r="M89" s="15">
        <f t="shared" si="18"/>
        <v>0</v>
      </c>
      <c r="N89" s="15">
        <f t="shared" si="18"/>
        <v>0</v>
      </c>
      <c r="O89" s="15">
        <f t="shared" si="18"/>
        <v>0</v>
      </c>
      <c r="P89" s="15">
        <f t="shared" si="18"/>
        <v>0</v>
      </c>
      <c r="Q89" s="15">
        <f t="shared" si="18"/>
        <v>0</v>
      </c>
      <c r="R89" s="15">
        <f t="shared" si="18"/>
        <v>0</v>
      </c>
      <c r="S89" s="15">
        <f t="shared" si="18"/>
        <v>113475.61840915371</v>
      </c>
      <c r="T89" s="15">
        <f t="shared" si="18"/>
        <v>107801.83748869602</v>
      </c>
      <c r="U89" s="15">
        <f t="shared" si="18"/>
        <v>102411.74561426121</v>
      </c>
    </row>
    <row r="90" spans="4:21" x14ac:dyDescent="0.25">
      <c r="E90" s="3">
        <f t="shared" si="19"/>
        <v>14</v>
      </c>
      <c r="F90" s="82">
        <f t="shared" ca="1" si="18"/>
        <v>261588.93762766902</v>
      </c>
      <c r="G90" s="15">
        <f t="shared" si="18"/>
        <v>0</v>
      </c>
      <c r="H90" s="15">
        <f t="shared" si="18"/>
        <v>0</v>
      </c>
      <c r="I90" s="15">
        <f t="shared" si="18"/>
        <v>0</v>
      </c>
      <c r="J90" s="15">
        <f t="shared" si="18"/>
        <v>0</v>
      </c>
      <c r="K90" s="15">
        <f t="shared" si="18"/>
        <v>0</v>
      </c>
      <c r="L90" s="15">
        <f t="shared" si="18"/>
        <v>0</v>
      </c>
      <c r="M90" s="15">
        <f t="shared" si="18"/>
        <v>0</v>
      </c>
      <c r="N90" s="15">
        <f t="shared" si="18"/>
        <v>0</v>
      </c>
      <c r="O90" s="15">
        <f t="shared" si="18"/>
        <v>0</v>
      </c>
      <c r="P90" s="15">
        <f t="shared" si="18"/>
        <v>0</v>
      </c>
      <c r="Q90" s="15">
        <f t="shared" si="18"/>
        <v>0</v>
      </c>
      <c r="R90" s="15">
        <f t="shared" si="18"/>
        <v>0</v>
      </c>
      <c r="S90" s="15">
        <f t="shared" si="18"/>
        <v>0</v>
      </c>
      <c r="T90" s="15">
        <f t="shared" si="18"/>
        <v>141169.07290186384</v>
      </c>
      <c r="U90" s="15">
        <f t="shared" si="18"/>
        <v>134110.61925677065</v>
      </c>
    </row>
    <row r="91" spans="4:21" x14ac:dyDescent="0.25">
      <c r="E91" s="3">
        <f t="shared" si="19"/>
        <v>15</v>
      </c>
      <c r="F91" s="82">
        <f t="shared" ca="1" si="18"/>
        <v>188473.42188039792</v>
      </c>
      <c r="G91" s="15">
        <f t="shared" si="18"/>
        <v>0</v>
      </c>
      <c r="H91" s="15">
        <f t="shared" si="18"/>
        <v>0</v>
      </c>
      <c r="I91" s="15">
        <f t="shared" si="18"/>
        <v>0</v>
      </c>
      <c r="J91" s="15">
        <f t="shared" si="18"/>
        <v>0</v>
      </c>
      <c r="K91" s="15">
        <f t="shared" si="18"/>
        <v>0</v>
      </c>
      <c r="L91" s="15">
        <f t="shared" si="18"/>
        <v>0</v>
      </c>
      <c r="M91" s="15">
        <f t="shared" si="18"/>
        <v>0</v>
      </c>
      <c r="N91" s="15">
        <f t="shared" si="18"/>
        <v>0</v>
      </c>
      <c r="O91" s="15">
        <f t="shared" si="18"/>
        <v>0</v>
      </c>
      <c r="P91" s="15">
        <f t="shared" si="18"/>
        <v>0</v>
      </c>
      <c r="Q91" s="15">
        <f t="shared" si="18"/>
        <v>0</v>
      </c>
      <c r="R91" s="15">
        <f t="shared" si="18"/>
        <v>0</v>
      </c>
      <c r="S91" s="15">
        <f t="shared" si="18"/>
        <v>0</v>
      </c>
      <c r="T91" s="15">
        <f t="shared" si="18"/>
        <v>0</v>
      </c>
      <c r="U91" s="15">
        <f t="shared" si="18"/>
        <v>195069.99164621183</v>
      </c>
    </row>
    <row r="92" spans="4:21" x14ac:dyDescent="0.25">
      <c r="E92" s="64" t="s">
        <v>4</v>
      </c>
      <c r="F92" s="65"/>
      <c r="G92" s="65">
        <f>SUM(G77:G91)</f>
        <v>25000</v>
      </c>
      <c r="H92" s="65">
        <f t="shared" ref="H92:U92" si="20">SUM(H77:H91)</f>
        <v>56875</v>
      </c>
      <c r="I92" s="65">
        <f t="shared" si="20"/>
        <v>93468.75</v>
      </c>
      <c r="J92" s="65">
        <f t="shared" si="20"/>
        <v>147054.6875</v>
      </c>
      <c r="K92" s="65">
        <f t="shared" si="20"/>
        <v>208142.65625</v>
      </c>
      <c r="L92" s="65">
        <f t="shared" si="20"/>
        <v>248281.98046875</v>
      </c>
      <c r="M92" s="65">
        <f t="shared" si="20"/>
        <v>282048.24238281243</v>
      </c>
      <c r="N92" s="65">
        <f t="shared" si="20"/>
        <v>307819.72919921868</v>
      </c>
      <c r="O92" s="65">
        <f t="shared" si="20"/>
        <v>331710.21564453113</v>
      </c>
      <c r="P92" s="65">
        <f t="shared" si="20"/>
        <v>354515.29297009268</v>
      </c>
      <c r="Q92" s="65">
        <f t="shared" si="20"/>
        <v>374210.58702398668</v>
      </c>
      <c r="R92" s="65">
        <f t="shared" si="20"/>
        <v>395316.06413213949</v>
      </c>
      <c r="S92" s="65">
        <f t="shared" si="20"/>
        <v>428235.36947263964</v>
      </c>
      <c r="T92" s="65">
        <f t="shared" si="20"/>
        <v>483824.91349093331</v>
      </c>
      <c r="U92" s="65">
        <f t="shared" si="20"/>
        <v>587648.34983421315</v>
      </c>
    </row>
    <row r="94" spans="4:21" x14ac:dyDescent="0.25">
      <c r="D94" s="2" t="s">
        <v>41</v>
      </c>
      <c r="G94" s="49" t="s">
        <v>16</v>
      </c>
      <c r="H94" s="58"/>
      <c r="I94" s="58"/>
      <c r="J94" s="58"/>
      <c r="K94" s="58"/>
      <c r="L94" s="58"/>
      <c r="M94" s="58"/>
      <c r="N94" s="58"/>
      <c r="O94" s="58"/>
      <c r="P94" s="58"/>
      <c r="Q94" s="58"/>
      <c r="R94" s="58"/>
      <c r="S94" s="58"/>
    </row>
    <row r="95" spans="4:21" x14ac:dyDescent="0.25">
      <c r="E95" s="3" t="s">
        <v>12</v>
      </c>
      <c r="G95" s="54">
        <v>1</v>
      </c>
      <c r="H95" s="54">
        <f>G95+1</f>
        <v>2</v>
      </c>
      <c r="I95" s="54">
        <f t="shared" ref="I95:U95" si="21">H95+1</f>
        <v>3</v>
      </c>
      <c r="J95" s="54">
        <f t="shared" si="21"/>
        <v>4</v>
      </c>
      <c r="K95" s="54">
        <f t="shared" si="21"/>
        <v>5</v>
      </c>
      <c r="L95" s="54">
        <f t="shared" si="21"/>
        <v>6</v>
      </c>
      <c r="M95" s="54">
        <f t="shared" si="21"/>
        <v>7</v>
      </c>
      <c r="N95" s="54">
        <f t="shared" si="21"/>
        <v>8</v>
      </c>
      <c r="O95" s="54">
        <f t="shared" si="21"/>
        <v>9</v>
      </c>
      <c r="P95" s="54">
        <f t="shared" si="21"/>
        <v>10</v>
      </c>
      <c r="Q95" s="54">
        <f t="shared" si="21"/>
        <v>11</v>
      </c>
      <c r="R95" s="54">
        <f t="shared" si="21"/>
        <v>12</v>
      </c>
      <c r="S95" s="54">
        <f t="shared" si="21"/>
        <v>13</v>
      </c>
      <c r="T95" s="54">
        <f t="shared" si="21"/>
        <v>14</v>
      </c>
      <c r="U95" s="54">
        <f t="shared" si="21"/>
        <v>15</v>
      </c>
    </row>
    <row r="96" spans="4:21" x14ac:dyDescent="0.25">
      <c r="E96" s="3">
        <v>1</v>
      </c>
      <c r="G96" s="83">
        <f>'Base Case'!G97</f>
        <v>62613.034328825532</v>
      </c>
      <c r="H96" s="83">
        <f>'Base Case'!H97</f>
        <v>43554.490530334428</v>
      </c>
      <c r="I96" s="83">
        <f>'Base Case'!I97</f>
        <v>27016.397698896126</v>
      </c>
      <c r="J96" s="89">
        <f>'Claims Shock'!J96</f>
        <v>14833.937198067633</v>
      </c>
      <c r="K96" s="101">
        <f>'Update Assumptions'!K96</f>
        <v>0</v>
      </c>
      <c r="L96" s="15">
        <f t="shared" ref="L96:L110" si="22">IF(L77=0,0,NPV(DiscountRate,M77:P77))</f>
        <v>0</v>
      </c>
      <c r="M96" s="15">
        <f t="shared" ref="M96:M110" si="23">IF(M77=0,0,NPV(DiscountRate,N77:Q77))</f>
        <v>0</v>
      </c>
      <c r="N96" s="15">
        <f t="shared" ref="N96:N110" si="24">IF(N77=0,0,NPV(DiscountRate,O77:R77))</f>
        <v>0</v>
      </c>
      <c r="O96" s="15">
        <f t="shared" ref="O96:O110" si="25">IF(O77=0,0,NPV(DiscountRate,P77:S77))</f>
        <v>0</v>
      </c>
      <c r="P96" s="15">
        <f t="shared" ref="P96:P110" si="26">IF(P77=0,0,NPV(DiscountRate,Q77:T77))</f>
        <v>0</v>
      </c>
      <c r="Q96" s="15">
        <f t="shared" ref="Q96:Q110" si="27">IF(Q77=0,0,NPV(DiscountRate,R77:U77))</f>
        <v>0</v>
      </c>
      <c r="R96" s="15">
        <f t="shared" ref="R96:R110" si="28">IF(R77=0,0,NPV(DiscountRate,S77:V77))</f>
        <v>0</v>
      </c>
      <c r="S96" s="15">
        <f t="shared" ref="S96:S110" si="29">IF(S77=0,0,NPV(DiscountRate,T77:W77))</f>
        <v>0</v>
      </c>
      <c r="T96" s="15">
        <f t="shared" ref="T96:T110" si="30">IF(T77=0,0,NPV(DiscountRate,U77:X77))</f>
        <v>0</v>
      </c>
      <c r="U96" s="15">
        <f t="shared" ref="U96:U110" si="31">IF(U77=0,0,NPV(DiscountRate,V77:Y77))</f>
        <v>0</v>
      </c>
    </row>
    <row r="97" spans="5:21" x14ac:dyDescent="0.25">
      <c r="E97" s="3">
        <f>E96+1</f>
        <v>2</v>
      </c>
      <c r="G97" s="83">
        <f>'Base Case'!G98</f>
        <v>0</v>
      </c>
      <c r="H97" s="83">
        <f>'Base Case'!H98</f>
        <v>89223.573918576381</v>
      </c>
      <c r="I97" s="83">
        <f>'Base Case'!I98</f>
        <v>62065.149005726555</v>
      </c>
      <c r="J97" s="89">
        <f>'Claims Shock'!J97</f>
        <v>45292.196142267036</v>
      </c>
      <c r="K97" s="101">
        <f>'Update Assumptions'!K97</f>
        <v>27794.384057971016</v>
      </c>
      <c r="L97" s="15">
        <f t="shared" si="22"/>
        <v>0</v>
      </c>
      <c r="M97" s="15">
        <f t="shared" si="23"/>
        <v>0</v>
      </c>
      <c r="N97" s="15">
        <f t="shared" si="24"/>
        <v>0</v>
      </c>
      <c r="O97" s="15">
        <f t="shared" si="25"/>
        <v>0</v>
      </c>
      <c r="P97" s="15">
        <f t="shared" si="26"/>
        <v>0</v>
      </c>
      <c r="Q97" s="15">
        <f t="shared" si="27"/>
        <v>0</v>
      </c>
      <c r="R97" s="15">
        <f t="shared" si="28"/>
        <v>0</v>
      </c>
      <c r="S97" s="15">
        <f t="shared" si="29"/>
        <v>0</v>
      </c>
      <c r="T97" s="15">
        <f t="shared" si="30"/>
        <v>0</v>
      </c>
      <c r="U97" s="15">
        <f t="shared" si="31"/>
        <v>0</v>
      </c>
    </row>
    <row r="98" spans="5:21" x14ac:dyDescent="0.25">
      <c r="E98" s="3">
        <f t="shared" ref="E98:E110" si="32">E97+1</f>
        <v>3</v>
      </c>
      <c r="G98" s="83">
        <f>'Base Case'!G99</f>
        <v>0</v>
      </c>
      <c r="H98" s="83">
        <f>'Base Case'!H99</f>
        <v>0</v>
      </c>
      <c r="I98" s="83">
        <f>'Base Case'!I99</f>
        <v>113016.52696353009</v>
      </c>
      <c r="J98" s="89">
        <f>'Claims Shock'!J98</f>
        <v>92489.241655592516</v>
      </c>
      <c r="K98" s="101">
        <f>'Update Assumptions'!K98</f>
        <v>79436.597120119492</v>
      </c>
      <c r="L98" s="15">
        <f t="shared" si="22"/>
        <v>39348.128019323674</v>
      </c>
      <c r="M98" s="15">
        <f t="shared" si="23"/>
        <v>0</v>
      </c>
      <c r="N98" s="15">
        <f t="shared" si="24"/>
        <v>0</v>
      </c>
      <c r="O98" s="15">
        <f t="shared" si="25"/>
        <v>0</v>
      </c>
      <c r="P98" s="15">
        <f t="shared" si="26"/>
        <v>0</v>
      </c>
      <c r="Q98" s="15">
        <f t="shared" si="27"/>
        <v>0</v>
      </c>
      <c r="R98" s="15">
        <f t="shared" si="28"/>
        <v>0</v>
      </c>
      <c r="S98" s="15">
        <f t="shared" si="29"/>
        <v>0</v>
      </c>
      <c r="T98" s="15">
        <f t="shared" si="30"/>
        <v>0</v>
      </c>
      <c r="U98" s="15">
        <f t="shared" si="31"/>
        <v>0</v>
      </c>
    </row>
    <row r="99" spans="5:21" x14ac:dyDescent="0.25">
      <c r="E99" s="3">
        <f t="shared" si="32"/>
        <v>4</v>
      </c>
      <c r="G99" s="83">
        <f>'Base Case'!G100</f>
        <v>0</v>
      </c>
      <c r="H99" s="83">
        <f>'Base Case'!H100</f>
        <v>0</v>
      </c>
      <c r="I99" s="83">
        <f>'Base Case'!I100</f>
        <v>0</v>
      </c>
      <c r="J99" s="89">
        <f>'Claims Shock'!J99</f>
        <v>134207.125769192</v>
      </c>
      <c r="K99" s="101">
        <f>'Update Assumptions'!K99</f>
        <v>135769.13212670031</v>
      </c>
      <c r="L99" s="15">
        <f t="shared" si="22"/>
        <v>89614.411126134801</v>
      </c>
      <c r="M99" s="15">
        <f t="shared" si="23"/>
        <v>44389.606921799517</v>
      </c>
      <c r="N99" s="15">
        <f t="shared" si="24"/>
        <v>0</v>
      </c>
      <c r="O99" s="15">
        <f t="shared" si="25"/>
        <v>0</v>
      </c>
      <c r="P99" s="15">
        <f t="shared" si="26"/>
        <v>0</v>
      </c>
      <c r="Q99" s="15">
        <f t="shared" si="27"/>
        <v>0</v>
      </c>
      <c r="R99" s="15">
        <f t="shared" si="28"/>
        <v>0</v>
      </c>
      <c r="S99" s="15">
        <f t="shared" si="29"/>
        <v>0</v>
      </c>
      <c r="T99" s="15">
        <f t="shared" si="30"/>
        <v>0</v>
      </c>
      <c r="U99" s="15">
        <f t="shared" si="31"/>
        <v>0</v>
      </c>
    </row>
    <row r="100" spans="5:21" x14ac:dyDescent="0.25">
      <c r="E100" s="3">
        <f t="shared" si="32"/>
        <v>5</v>
      </c>
      <c r="G100" s="83">
        <f>'Base Case'!G101</f>
        <v>0</v>
      </c>
      <c r="H100" s="83">
        <f>'Base Case'!H101</f>
        <v>0</v>
      </c>
      <c r="I100" s="83">
        <f>'Base Case'!I101</f>
        <v>0</v>
      </c>
      <c r="J100" s="89">
        <f>'Claims Shock'!J100</f>
        <v>0</v>
      </c>
      <c r="K100" s="101">
        <f>'Update Assumptions'!K100</f>
        <v>198136.75401518494</v>
      </c>
      <c r="L100" s="15">
        <f t="shared" si="22"/>
        <v>147037.9700932164</v>
      </c>
      <c r="M100" s="15">
        <f t="shared" si="23"/>
        <v>97052.407249603973</v>
      </c>
      <c r="N100" s="15">
        <f t="shared" si="24"/>
        <v>48073.944296308873</v>
      </c>
      <c r="O100" s="15">
        <f t="shared" si="25"/>
        <v>0</v>
      </c>
      <c r="P100" s="15">
        <f t="shared" si="26"/>
        <v>0</v>
      </c>
      <c r="Q100" s="15">
        <f t="shared" si="27"/>
        <v>0</v>
      </c>
      <c r="R100" s="15">
        <f t="shared" si="28"/>
        <v>0</v>
      </c>
      <c r="S100" s="15">
        <f t="shared" si="29"/>
        <v>0</v>
      </c>
      <c r="T100" s="15">
        <f t="shared" si="30"/>
        <v>0</v>
      </c>
      <c r="U100" s="15">
        <f t="shared" si="31"/>
        <v>0</v>
      </c>
    </row>
    <row r="101" spans="5:21" x14ac:dyDescent="0.25">
      <c r="E101" s="3">
        <f t="shared" si="32"/>
        <v>6</v>
      </c>
      <c r="G101" s="83">
        <f>'Base Case'!G102</f>
        <v>0</v>
      </c>
      <c r="H101" s="83">
        <f>'Base Case'!H102</f>
        <v>0</v>
      </c>
      <c r="I101" s="83">
        <f>'Base Case'!I102</f>
        <v>0</v>
      </c>
      <c r="J101" s="89">
        <f>'Claims Shock'!J101</f>
        <v>0</v>
      </c>
      <c r="K101" s="101">
        <f>'Update Assumptions'!K101</f>
        <v>0</v>
      </c>
      <c r="L101" s="15">
        <f t="shared" si="22"/>
        <v>219601.56903349663</v>
      </c>
      <c r="M101" s="15">
        <f t="shared" si="23"/>
        <v>162967.0835199815</v>
      </c>
      <c r="N101" s="15">
        <f t="shared" si="24"/>
        <v>107566.41803497773</v>
      </c>
      <c r="O101" s="15">
        <f t="shared" si="25"/>
        <v>53281.954928408988</v>
      </c>
      <c r="P101" s="15">
        <f t="shared" si="26"/>
        <v>0</v>
      </c>
      <c r="Q101" s="15">
        <f t="shared" si="27"/>
        <v>0</v>
      </c>
      <c r="R101" s="15">
        <f t="shared" si="28"/>
        <v>0</v>
      </c>
      <c r="S101" s="15">
        <f t="shared" si="29"/>
        <v>0</v>
      </c>
      <c r="T101" s="15">
        <f t="shared" si="30"/>
        <v>0</v>
      </c>
      <c r="U101" s="15">
        <f t="shared" si="31"/>
        <v>0</v>
      </c>
    </row>
    <row r="102" spans="5:21" x14ac:dyDescent="0.25">
      <c r="E102" s="3">
        <f t="shared" si="32"/>
        <v>7</v>
      </c>
      <c r="G102" s="83">
        <f>'Base Case'!G103</f>
        <v>0</v>
      </c>
      <c r="H102" s="83">
        <f>'Base Case'!H103</f>
        <v>0</v>
      </c>
      <c r="I102" s="83">
        <f>'Base Case'!I103</f>
        <v>0</v>
      </c>
      <c r="J102" s="89">
        <f>'Claims Shock'!J102</f>
        <v>0</v>
      </c>
      <c r="K102" s="101">
        <f>'Update Assumptions'!K102</f>
        <v>0</v>
      </c>
      <c r="L102" s="15">
        <f t="shared" si="22"/>
        <v>0</v>
      </c>
      <c r="M102" s="15">
        <f t="shared" si="23"/>
        <v>238424.56066493917</v>
      </c>
      <c r="N102" s="15">
        <f t="shared" si="24"/>
        <v>176935.69067883704</v>
      </c>
      <c r="O102" s="15">
        <f t="shared" si="25"/>
        <v>116786.39672369009</v>
      </c>
      <c r="P102" s="15">
        <f t="shared" si="26"/>
        <v>57848.979636558324</v>
      </c>
      <c r="Q102" s="15">
        <f t="shared" si="27"/>
        <v>0</v>
      </c>
      <c r="R102" s="15">
        <f t="shared" si="28"/>
        <v>0</v>
      </c>
      <c r="S102" s="15">
        <f t="shared" si="29"/>
        <v>0</v>
      </c>
      <c r="T102" s="15">
        <f t="shared" si="30"/>
        <v>0</v>
      </c>
      <c r="U102" s="15">
        <f t="shared" si="31"/>
        <v>0</v>
      </c>
    </row>
    <row r="103" spans="5:21" x14ac:dyDescent="0.25">
      <c r="E103" s="3">
        <f t="shared" si="32"/>
        <v>8</v>
      </c>
      <c r="G103" s="83">
        <f>'Base Case'!G104</f>
        <v>0</v>
      </c>
      <c r="H103" s="83">
        <f>'Base Case'!H104</f>
        <v>0</v>
      </c>
      <c r="I103" s="83">
        <f>'Base Case'!I104</f>
        <v>0</v>
      </c>
      <c r="J103" s="89">
        <f>'Claims Shock'!J103</f>
        <v>0</v>
      </c>
      <c r="K103" s="101">
        <f>'Update Assumptions'!K103</f>
        <v>0</v>
      </c>
      <c r="L103" s="15">
        <f t="shared" si="22"/>
        <v>0</v>
      </c>
      <c r="M103" s="15">
        <f t="shared" si="23"/>
        <v>0</v>
      </c>
      <c r="N103" s="15">
        <f t="shared" si="24"/>
        <v>254816.24921065374</v>
      </c>
      <c r="O103" s="15">
        <f t="shared" si="25"/>
        <v>189100.01941300707</v>
      </c>
      <c r="P103" s="15">
        <f t="shared" si="26"/>
        <v>124815.46149844378</v>
      </c>
      <c r="Q103" s="15">
        <f t="shared" si="27"/>
        <v>61826.096986571705</v>
      </c>
      <c r="R103" s="15">
        <f t="shared" si="28"/>
        <v>0</v>
      </c>
      <c r="S103" s="15">
        <f t="shared" si="29"/>
        <v>0</v>
      </c>
      <c r="T103" s="15">
        <f t="shared" si="30"/>
        <v>0</v>
      </c>
      <c r="U103" s="15">
        <f t="shared" si="31"/>
        <v>0</v>
      </c>
    </row>
    <row r="104" spans="5:21" x14ac:dyDescent="0.25">
      <c r="E104" s="3">
        <f t="shared" si="32"/>
        <v>9</v>
      </c>
      <c r="G104" s="83">
        <f>'Base Case'!G105</f>
        <v>0</v>
      </c>
      <c r="H104" s="83">
        <f>'Base Case'!H105</f>
        <v>0</v>
      </c>
      <c r="I104" s="83">
        <f>'Base Case'!I105</f>
        <v>0</v>
      </c>
      <c r="J104" s="89">
        <f>'Claims Shock'!J104</f>
        <v>0</v>
      </c>
      <c r="K104" s="101">
        <f>'Update Assumptions'!K104</f>
        <v>0</v>
      </c>
      <c r="L104" s="15">
        <f t="shared" si="22"/>
        <v>0</v>
      </c>
      <c r="M104" s="15">
        <f t="shared" si="23"/>
        <v>0</v>
      </c>
      <c r="N104" s="15">
        <f t="shared" si="24"/>
        <v>0</v>
      </c>
      <c r="O104" s="15">
        <f t="shared" si="25"/>
        <v>268972.70750013448</v>
      </c>
      <c r="P104" s="15">
        <f t="shared" si="26"/>
        <v>199605.57604706302</v>
      </c>
      <c r="Q104" s="15">
        <f t="shared" si="27"/>
        <v>131749.65380391289</v>
      </c>
      <c r="R104" s="15">
        <f t="shared" si="28"/>
        <v>65260.880152492355</v>
      </c>
      <c r="S104" s="15">
        <f t="shared" si="29"/>
        <v>0</v>
      </c>
      <c r="T104" s="15">
        <f t="shared" si="30"/>
        <v>0</v>
      </c>
      <c r="U104" s="15">
        <f t="shared" si="31"/>
        <v>0</v>
      </c>
    </row>
    <row r="105" spans="5:21" x14ac:dyDescent="0.25">
      <c r="E105" s="3">
        <f t="shared" si="32"/>
        <v>10</v>
      </c>
      <c r="G105" s="83">
        <f>'Base Case'!G106</f>
        <v>0</v>
      </c>
      <c r="H105" s="83">
        <f>'Base Case'!H106</f>
        <v>0</v>
      </c>
      <c r="I105" s="83">
        <f>'Base Case'!I106</f>
        <v>0</v>
      </c>
      <c r="J105" s="89">
        <f>'Claims Shock'!J105</f>
        <v>0</v>
      </c>
      <c r="K105" s="101">
        <f>'Update Assumptions'!K105</f>
        <v>0</v>
      </c>
      <c r="L105" s="15">
        <f t="shared" si="22"/>
        <v>0</v>
      </c>
      <c r="M105" s="15">
        <f t="shared" si="23"/>
        <v>0</v>
      </c>
      <c r="N105" s="15">
        <f t="shared" si="24"/>
        <v>0</v>
      </c>
      <c r="O105" s="15">
        <f t="shared" si="25"/>
        <v>0</v>
      </c>
      <c r="P105" s="15">
        <f t="shared" si="26"/>
        <v>281076.47933764063</v>
      </c>
      <c r="Q105" s="15">
        <f t="shared" si="27"/>
        <v>208587.82696918095</v>
      </c>
      <c r="R105" s="15">
        <f t="shared" si="28"/>
        <v>137678.38822508903</v>
      </c>
      <c r="S105" s="15">
        <f t="shared" si="29"/>
        <v>68197.619759354537</v>
      </c>
      <c r="T105" s="15">
        <f t="shared" si="30"/>
        <v>0</v>
      </c>
      <c r="U105" s="15">
        <f t="shared" si="31"/>
        <v>0</v>
      </c>
    </row>
    <row r="106" spans="5:21" x14ac:dyDescent="0.25">
      <c r="E106" s="3">
        <f t="shared" si="32"/>
        <v>11</v>
      </c>
      <c r="G106" s="83">
        <f>'Base Case'!G107</f>
        <v>0</v>
      </c>
      <c r="H106" s="83">
        <f>'Base Case'!H107</f>
        <v>0</v>
      </c>
      <c r="I106" s="83">
        <f>'Base Case'!I107</f>
        <v>0</v>
      </c>
      <c r="J106" s="89">
        <f>'Claims Shock'!J106</f>
        <v>0</v>
      </c>
      <c r="K106" s="101">
        <f>'Update Assumptions'!K106</f>
        <v>0</v>
      </c>
      <c r="L106" s="15">
        <f t="shared" si="22"/>
        <v>0</v>
      </c>
      <c r="M106" s="15">
        <f t="shared" si="23"/>
        <v>0</v>
      </c>
      <c r="N106" s="15">
        <f t="shared" si="24"/>
        <v>0</v>
      </c>
      <c r="O106" s="15">
        <f t="shared" si="25"/>
        <v>0</v>
      </c>
      <c r="P106" s="15">
        <f t="shared" si="26"/>
        <v>0</v>
      </c>
      <c r="Q106" s="15">
        <f t="shared" si="27"/>
        <v>291297.44222264568</v>
      </c>
      <c r="R106" s="15">
        <f t="shared" si="28"/>
        <v>216172.83885896922</v>
      </c>
      <c r="S106" s="15">
        <f t="shared" si="29"/>
        <v>142684.87506963764</v>
      </c>
      <c r="T106" s="15">
        <f t="shared" si="30"/>
        <v>70677.53320514923</v>
      </c>
      <c r="U106" s="15">
        <f t="shared" si="31"/>
        <v>0</v>
      </c>
    </row>
    <row r="107" spans="5:21" x14ac:dyDescent="0.25">
      <c r="E107" s="3">
        <f t="shared" si="32"/>
        <v>12</v>
      </c>
      <c r="G107" s="83">
        <f>'Base Case'!G108</f>
        <v>0</v>
      </c>
      <c r="H107" s="83">
        <f>'Base Case'!H108</f>
        <v>0</v>
      </c>
      <c r="I107" s="83">
        <f>'Base Case'!I108</f>
        <v>0</v>
      </c>
      <c r="J107" s="89">
        <f>'Claims Shock'!J107</f>
        <v>0</v>
      </c>
      <c r="K107" s="101">
        <f>'Update Assumptions'!K107</f>
        <v>0</v>
      </c>
      <c r="L107" s="15">
        <f t="shared" si="22"/>
        <v>0</v>
      </c>
      <c r="M107" s="15">
        <f t="shared" si="23"/>
        <v>0</v>
      </c>
      <c r="N107" s="15">
        <f t="shared" si="24"/>
        <v>0</v>
      </c>
      <c r="O107" s="15">
        <f t="shared" si="25"/>
        <v>0</v>
      </c>
      <c r="P107" s="15">
        <f t="shared" si="26"/>
        <v>0</v>
      </c>
      <c r="Q107" s="15">
        <f t="shared" si="27"/>
        <v>0</v>
      </c>
      <c r="R107" s="15">
        <f t="shared" si="28"/>
        <v>244995.88404016517</v>
      </c>
      <c r="S107" s="15">
        <f t="shared" si="29"/>
        <v>161709.52507892263</v>
      </c>
      <c r="T107" s="15">
        <f t="shared" si="30"/>
        <v>80101.204299169112</v>
      </c>
      <c r="U107" s="15">
        <f t="shared" si="31"/>
        <v>0</v>
      </c>
    </row>
    <row r="108" spans="5:21" x14ac:dyDescent="0.25">
      <c r="E108" s="3">
        <f t="shared" si="32"/>
        <v>13</v>
      </c>
      <c r="G108" s="83">
        <f>'Base Case'!G109</f>
        <v>0</v>
      </c>
      <c r="H108" s="83">
        <f>'Base Case'!H109</f>
        <v>0</v>
      </c>
      <c r="I108" s="83">
        <f>'Base Case'!I109</f>
        <v>0</v>
      </c>
      <c r="J108" s="89">
        <f>'Claims Shock'!J108</f>
        <v>0</v>
      </c>
      <c r="K108" s="101">
        <f>'Update Assumptions'!K108</f>
        <v>0</v>
      </c>
      <c r="L108" s="15">
        <f t="shared" si="22"/>
        <v>0</v>
      </c>
      <c r="M108" s="15">
        <f t="shared" si="23"/>
        <v>0</v>
      </c>
      <c r="N108" s="15">
        <f t="shared" si="24"/>
        <v>0</v>
      </c>
      <c r="O108" s="15">
        <f t="shared" si="25"/>
        <v>0</v>
      </c>
      <c r="P108" s="15">
        <f t="shared" si="26"/>
        <v>0</v>
      </c>
      <c r="Q108" s="15">
        <f t="shared" si="27"/>
        <v>0</v>
      </c>
      <c r="R108" s="15">
        <f t="shared" si="28"/>
        <v>0</v>
      </c>
      <c r="S108" s="15">
        <f t="shared" si="29"/>
        <v>199758.82509749269</v>
      </c>
      <c r="T108" s="15">
        <f t="shared" si="30"/>
        <v>98948.546487208907</v>
      </c>
      <c r="U108" s="15">
        <f t="shared" si="31"/>
        <v>0</v>
      </c>
    </row>
    <row r="109" spans="5:21" x14ac:dyDescent="0.25">
      <c r="E109" s="3">
        <f t="shared" si="32"/>
        <v>14</v>
      </c>
      <c r="G109" s="83">
        <f>'Base Case'!G110</f>
        <v>0</v>
      </c>
      <c r="H109" s="83">
        <f>'Base Case'!H110</f>
        <v>0</v>
      </c>
      <c r="I109" s="83">
        <f>'Base Case'!I110</f>
        <v>0</v>
      </c>
      <c r="J109" s="89">
        <f>'Claims Shock'!J109</f>
        <v>0</v>
      </c>
      <c r="K109" s="101">
        <f>'Update Assumptions'!K109</f>
        <v>0</v>
      </c>
      <c r="L109" s="15">
        <f t="shared" si="22"/>
        <v>0</v>
      </c>
      <c r="M109" s="15">
        <f t="shared" si="23"/>
        <v>0</v>
      </c>
      <c r="N109" s="15">
        <f t="shared" si="24"/>
        <v>0</v>
      </c>
      <c r="O109" s="15">
        <f t="shared" si="25"/>
        <v>0</v>
      </c>
      <c r="P109" s="15">
        <f t="shared" si="26"/>
        <v>0</v>
      </c>
      <c r="Q109" s="15">
        <f t="shared" si="27"/>
        <v>0</v>
      </c>
      <c r="R109" s="15">
        <f t="shared" si="28"/>
        <v>0</v>
      </c>
      <c r="S109" s="15">
        <f t="shared" si="29"/>
        <v>0</v>
      </c>
      <c r="T109" s="15">
        <f t="shared" si="30"/>
        <v>129575.47754277359</v>
      </c>
      <c r="U109" s="15">
        <f t="shared" si="31"/>
        <v>0</v>
      </c>
    </row>
    <row r="110" spans="5:21" x14ac:dyDescent="0.25">
      <c r="E110" s="3">
        <f t="shared" si="32"/>
        <v>15</v>
      </c>
      <c r="G110" s="83">
        <f>'Base Case'!G111</f>
        <v>0</v>
      </c>
      <c r="H110" s="83">
        <f>'Base Case'!H111</f>
        <v>0</v>
      </c>
      <c r="I110" s="83">
        <f>'Base Case'!I111</f>
        <v>0</v>
      </c>
      <c r="J110" s="89">
        <f>'Claims Shock'!J110</f>
        <v>0</v>
      </c>
      <c r="K110" s="101">
        <f>'Update Assumptions'!K110</f>
        <v>0</v>
      </c>
      <c r="L110" s="15">
        <f t="shared" si="22"/>
        <v>0</v>
      </c>
      <c r="M110" s="15">
        <f t="shared" si="23"/>
        <v>0</v>
      </c>
      <c r="N110" s="15">
        <f t="shared" si="24"/>
        <v>0</v>
      </c>
      <c r="O110" s="15">
        <f t="shared" si="25"/>
        <v>0</v>
      </c>
      <c r="P110" s="15">
        <f t="shared" si="26"/>
        <v>0</v>
      </c>
      <c r="Q110" s="15">
        <f t="shared" si="27"/>
        <v>0</v>
      </c>
      <c r="R110" s="15">
        <f t="shared" si="28"/>
        <v>0</v>
      </c>
      <c r="S110" s="15">
        <f t="shared" si="29"/>
        <v>0</v>
      </c>
      <c r="T110" s="15">
        <f t="shared" si="30"/>
        <v>0</v>
      </c>
      <c r="U110" s="15">
        <f t="shared" si="31"/>
        <v>0</v>
      </c>
    </row>
    <row r="111" spans="5:21" x14ac:dyDescent="0.25">
      <c r="E111" s="64" t="s">
        <v>4</v>
      </c>
      <c r="G111" s="65">
        <f>SUM(G96:G110)</f>
        <v>62613.034328825532</v>
      </c>
      <c r="H111" s="65">
        <f t="shared" ref="H111:U111" si="33">SUM(H96:H110)</f>
        <v>132778.06444891082</v>
      </c>
      <c r="I111" s="65">
        <f t="shared" si="33"/>
        <v>202098.07366815279</v>
      </c>
      <c r="J111" s="65">
        <f t="shared" si="33"/>
        <v>286822.50076511921</v>
      </c>
      <c r="K111" s="65">
        <f t="shared" si="33"/>
        <v>441136.86731997575</v>
      </c>
      <c r="L111" s="65">
        <f t="shared" si="33"/>
        <v>495602.07827217155</v>
      </c>
      <c r="M111" s="65">
        <f t="shared" si="33"/>
        <v>542833.65835632407</v>
      </c>
      <c r="N111" s="65">
        <f t="shared" si="33"/>
        <v>587392.30222077738</v>
      </c>
      <c r="O111" s="65">
        <f t="shared" si="33"/>
        <v>628141.0785652406</v>
      </c>
      <c r="P111" s="65">
        <f t="shared" si="33"/>
        <v>663346.49651970575</v>
      </c>
      <c r="Q111" s="65">
        <f t="shared" si="33"/>
        <v>693461.01998231118</v>
      </c>
      <c r="R111" s="65">
        <f t="shared" si="33"/>
        <v>664107.99127671577</v>
      </c>
      <c r="S111" s="65">
        <f t="shared" si="33"/>
        <v>572350.84500540746</v>
      </c>
      <c r="T111" s="65">
        <f t="shared" si="33"/>
        <v>379302.76153430087</v>
      </c>
      <c r="U111" s="65">
        <f t="shared" si="33"/>
        <v>0</v>
      </c>
    </row>
    <row r="114" spans="7:8" x14ac:dyDescent="0.25">
      <c r="G114" s="66"/>
      <c r="H114" s="66"/>
    </row>
    <row r="115" spans="7:8" x14ac:dyDescent="0.25">
      <c r="G115" s="66"/>
      <c r="H115" s="66"/>
    </row>
  </sheetData>
  <mergeCells count="2">
    <mergeCell ref="J38:N38"/>
    <mergeCell ref="P38:R38"/>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84C4C-DF13-4B63-84CC-9420AED4FBBF}">
  <sheetPr codeName="Sheet6">
    <tabColor theme="1"/>
  </sheetPr>
  <dimension ref="A1:N52"/>
  <sheetViews>
    <sheetView showGridLines="0" zoomScaleNormal="100" workbookViewId="0">
      <selection activeCell="H7" sqref="H7"/>
    </sheetView>
  </sheetViews>
  <sheetFormatPr defaultColWidth="8.7109375" defaultRowHeight="15" x14ac:dyDescent="0.25"/>
  <cols>
    <col min="1" max="4" width="1.85546875" style="106" customWidth="1"/>
    <col min="5" max="5" width="8.7109375" style="106"/>
    <col min="6" max="6" width="13.140625" style="106" bestFit="1" customWidth="1"/>
    <col min="7" max="7" width="14.5703125" style="106" bestFit="1" customWidth="1"/>
    <col min="8" max="8" width="13.42578125" style="106" bestFit="1" customWidth="1"/>
    <col min="9" max="9" width="13.140625" style="106" bestFit="1" customWidth="1"/>
    <col min="10" max="10" width="14.5703125" style="106" bestFit="1" customWidth="1"/>
    <col min="11" max="11" width="13.42578125" style="106" bestFit="1" customWidth="1"/>
    <col min="12" max="12" width="13.140625" style="106" bestFit="1" customWidth="1"/>
    <col min="13" max="13" width="14.5703125" style="106" bestFit="1" customWidth="1"/>
    <col min="14" max="14" width="13.42578125" style="106" bestFit="1" customWidth="1"/>
    <col min="15" max="16384" width="8.7109375" style="106"/>
  </cols>
  <sheetData>
    <row r="1" spans="1:14" x14ac:dyDescent="0.25">
      <c r="A1" s="4" t="s">
        <v>95</v>
      </c>
    </row>
    <row r="2" spans="1:14" x14ac:dyDescent="0.25">
      <c r="A2" s="1" t="s">
        <v>96</v>
      </c>
    </row>
    <row r="3" spans="1:14" x14ac:dyDescent="0.25">
      <c r="A3" s="5" t="s">
        <v>97</v>
      </c>
    </row>
    <row r="4" spans="1:14" x14ac:dyDescent="0.25">
      <c r="A4" s="6" t="s">
        <v>108</v>
      </c>
    </row>
    <row r="6" spans="1:14" x14ac:dyDescent="0.25">
      <c r="B6" s="2" t="s">
        <v>0</v>
      </c>
    </row>
    <row r="7" spans="1:14" x14ac:dyDescent="0.25">
      <c r="B7" s="2" t="s">
        <v>1</v>
      </c>
    </row>
    <row r="8" spans="1:14" x14ac:dyDescent="0.25">
      <c r="J8" s="107"/>
    </row>
    <row r="9" spans="1:14" x14ac:dyDescent="0.25">
      <c r="B9" s="2" t="s">
        <v>23</v>
      </c>
    </row>
    <row r="10" spans="1:14" x14ac:dyDescent="0.25">
      <c r="C10" s="2" t="s">
        <v>24</v>
      </c>
    </row>
    <row r="12" spans="1:14" x14ac:dyDescent="0.25">
      <c r="F12" s="120" t="s">
        <v>69</v>
      </c>
      <c r="G12" s="120"/>
      <c r="H12" s="120"/>
      <c r="I12" s="120" t="s">
        <v>27</v>
      </c>
      <c r="J12" s="120"/>
      <c r="K12" s="120"/>
      <c r="L12" s="120" t="s">
        <v>15</v>
      </c>
      <c r="M12" s="120"/>
      <c r="N12" s="120"/>
    </row>
    <row r="13" spans="1:14" x14ac:dyDescent="0.25">
      <c r="E13" s="108" t="s">
        <v>25</v>
      </c>
      <c r="F13" s="108" t="s">
        <v>58</v>
      </c>
      <c r="G13" s="108" t="s">
        <v>63</v>
      </c>
      <c r="H13" s="108" t="s">
        <v>64</v>
      </c>
      <c r="I13" s="108" t="s">
        <v>58</v>
      </c>
      <c r="J13" s="108" t="s">
        <v>63</v>
      </c>
      <c r="K13" s="108" t="s">
        <v>64</v>
      </c>
      <c r="L13" s="108" t="s">
        <v>58</v>
      </c>
      <c r="M13" s="108" t="s">
        <v>63</v>
      </c>
      <c r="N13" s="108" t="s">
        <v>64</v>
      </c>
    </row>
    <row r="14" spans="1:14" x14ac:dyDescent="0.25">
      <c r="E14" s="106">
        <v>1</v>
      </c>
      <c r="F14" s="109">
        <f ca="1">'Base Case'!P41</f>
        <v>279058.15995037323</v>
      </c>
      <c r="G14" s="109">
        <f ca="1">'Claims Shock'!P41</f>
        <v>279058.15995037323</v>
      </c>
      <c r="H14" s="109">
        <f ca="1">'Update Assumptions'!P41</f>
        <v>279058.15995037323</v>
      </c>
      <c r="I14" s="109">
        <f ca="1">'Base Case'!Q41</f>
        <v>216445.12562154746</v>
      </c>
      <c r="J14" s="109">
        <f ca="1">'Claims Shock'!Q41</f>
        <v>216445.12562154746</v>
      </c>
      <c r="K14" s="109">
        <f ca="1">'Update Assumptions'!Q41</f>
        <v>216445.12562154746</v>
      </c>
      <c r="L14" s="109">
        <f>'Base Case'!R41</f>
        <v>62613.034328825532</v>
      </c>
      <c r="M14" s="109">
        <f>'Claims Shock'!R41</f>
        <v>62613.034328825532</v>
      </c>
      <c r="N14" s="109">
        <f>'Update Assumptions'!R41</f>
        <v>62613.034328825532</v>
      </c>
    </row>
    <row r="15" spans="1:14" x14ac:dyDescent="0.25">
      <c r="E15" s="106">
        <f>E14+1</f>
        <v>2</v>
      </c>
      <c r="F15" s="109">
        <f ca="1">'Base Case'!P42</f>
        <v>520805.44750149082</v>
      </c>
      <c r="G15" s="109">
        <f ca="1">'Claims Shock'!P42</f>
        <v>520805.44750149082</v>
      </c>
      <c r="H15" s="109">
        <f ca="1">'Update Assumptions'!P42</f>
        <v>520805.44750149082</v>
      </c>
      <c r="I15" s="109">
        <f ca="1">'Base Case'!Q42</f>
        <v>388027.38305258006</v>
      </c>
      <c r="J15" s="109">
        <f ca="1">'Claims Shock'!Q42</f>
        <v>388027.38305258006</v>
      </c>
      <c r="K15" s="109">
        <f ca="1">'Update Assumptions'!Q42</f>
        <v>388027.38305258006</v>
      </c>
      <c r="L15" s="109">
        <f>'Base Case'!R42</f>
        <v>132778.06444891082</v>
      </c>
      <c r="M15" s="109">
        <f>'Claims Shock'!R42</f>
        <v>132778.06444891082</v>
      </c>
      <c r="N15" s="109">
        <f>'Update Assumptions'!R42</f>
        <v>132778.06444891082</v>
      </c>
    </row>
    <row r="16" spans="1:14" x14ac:dyDescent="0.25">
      <c r="E16" s="106">
        <f t="shared" ref="E16:E24" si="0">E15+1</f>
        <v>3</v>
      </c>
      <c r="F16" s="109">
        <f ca="1">'Base Case'!P43</f>
        <v>719977.3775192555</v>
      </c>
      <c r="G16" s="109">
        <f ca="1">'Claims Shock'!P43</f>
        <v>719977.3775192555</v>
      </c>
      <c r="H16" s="109">
        <f ca="1">'Update Assumptions'!P43</f>
        <v>719977.3775192555</v>
      </c>
      <c r="I16" s="109">
        <f ca="1">'Base Case'!Q43</f>
        <v>517879.30385110201</v>
      </c>
      <c r="J16" s="109">
        <f ca="1">'Claims Shock'!Q43</f>
        <v>517879.30385110201</v>
      </c>
      <c r="K16" s="109">
        <f ca="1">'Update Assumptions'!Q43</f>
        <v>517879.30385110201</v>
      </c>
      <c r="L16" s="109">
        <f>'Base Case'!R43</f>
        <v>202098.07366815279</v>
      </c>
      <c r="M16" s="109">
        <f>'Claims Shock'!R43</f>
        <v>202098.07366815279</v>
      </c>
      <c r="N16" s="109">
        <f>'Update Assumptions'!R43</f>
        <v>202098.07366815279</v>
      </c>
    </row>
    <row r="17" spans="5:14" x14ac:dyDescent="0.25">
      <c r="E17" s="106">
        <f t="shared" si="0"/>
        <v>4</v>
      </c>
      <c r="F17" s="109">
        <f ca="1">'Base Case'!P44</f>
        <v>872834.07561988034</v>
      </c>
      <c r="G17" s="109">
        <f ca="1">'Claims Shock'!P44</f>
        <v>873620.57383182389</v>
      </c>
      <c r="H17" s="109">
        <f ca="1">'Update Assumptions'!P44</f>
        <v>873620.57383182389</v>
      </c>
      <c r="I17" s="109">
        <f ca="1">'Base Case'!Q44</f>
        <v>608903.88110415009</v>
      </c>
      <c r="J17" s="109">
        <f ca="1">'Claims Shock'!Q44</f>
        <v>586798.07306670421</v>
      </c>
      <c r="K17" s="109">
        <f ca="1">'Update Assumptions'!Q44</f>
        <v>586798.07306670421</v>
      </c>
      <c r="L17" s="109">
        <f>'Base Case'!R44</f>
        <v>263930.19451573008</v>
      </c>
      <c r="M17" s="109">
        <f>'Claims Shock'!R44</f>
        <v>286822.50076511921</v>
      </c>
      <c r="N17" s="109">
        <f>'Update Assumptions'!R44</f>
        <v>286822.50076511921</v>
      </c>
    </row>
    <row r="18" spans="5:14" x14ac:dyDescent="0.25">
      <c r="E18" s="106">
        <f t="shared" si="0"/>
        <v>5</v>
      </c>
      <c r="F18" s="109">
        <f ca="1">'Base Case'!P45</f>
        <v>976873.352409655</v>
      </c>
      <c r="G18" s="109">
        <f ca="1">'Claims Shock'!P45</f>
        <v>968848.39719539532</v>
      </c>
      <c r="H18" s="109">
        <f ca="1">'Update Assumptions'!P45</f>
        <v>1197590.1524546451</v>
      </c>
      <c r="I18" s="109">
        <f ca="1">'Base Case'!Q45</f>
        <v>663788.69645899511</v>
      </c>
      <c r="J18" s="109">
        <f ca="1">'Claims Shock'!Q45</f>
        <v>643987.46990161738</v>
      </c>
      <c r="K18" s="109">
        <f ca="1">'Update Assumptions'!Q45</f>
        <v>756453.28513466916</v>
      </c>
      <c r="L18" s="109">
        <f>'Base Case'!R45</f>
        <v>313084.65595065942</v>
      </c>
      <c r="M18" s="109">
        <f>'Claims Shock'!R45</f>
        <v>324860.92729377712</v>
      </c>
      <c r="N18" s="109">
        <f>'Update Assumptions'!R45</f>
        <v>441136.86731997575</v>
      </c>
    </row>
    <row r="19" spans="5:14" x14ac:dyDescent="0.25">
      <c r="E19" s="106">
        <f t="shared" si="0"/>
        <v>6</v>
      </c>
      <c r="F19" s="109">
        <f ca="1">'Base Case'!P46</f>
        <v>1041683.0192111672</v>
      </c>
      <c r="G19" s="109">
        <f ca="1">'Claims Shock'!P46</f>
        <v>1028129.4087439685</v>
      </c>
      <c r="H19" s="109">
        <f ca="1">'Update Assumptions'!P46</f>
        <v>1269275.8200896422</v>
      </c>
      <c r="I19" s="109">
        <f ca="1">'Base Case'!Q46</f>
        <v>685019.17345536058</v>
      </c>
      <c r="J19" s="109">
        <f ca="1">'Claims Shock'!Q46</f>
        <v>667449.2744917844</v>
      </c>
      <c r="K19" s="109">
        <f ca="1">'Update Assumptions'!Q46</f>
        <v>773673.74181747087</v>
      </c>
      <c r="L19" s="109">
        <f>'Base Case'!R46</f>
        <v>356663.84575580654</v>
      </c>
      <c r="M19" s="109">
        <f>'Claims Shock'!R46</f>
        <v>360680.13425218337</v>
      </c>
      <c r="N19" s="109">
        <f>'Update Assumptions'!R46</f>
        <v>495602.07827217155</v>
      </c>
    </row>
    <row r="20" spans="5:14" x14ac:dyDescent="0.25">
      <c r="E20" s="106">
        <f t="shared" si="0"/>
        <v>7</v>
      </c>
      <c r="F20" s="109">
        <f ca="1">'Base Case'!P47</f>
        <v>1069993.4129320623</v>
      </c>
      <c r="G20" s="109">
        <f ca="1">'Claims Shock'!P47</f>
        <v>1054586.7195019051</v>
      </c>
      <c r="H20" s="109">
        <f ca="1">'Update Assumptions'!P47</f>
        <v>1295801.6245394123</v>
      </c>
      <c r="I20" s="109">
        <f ca="1">'Base Case'!Q47</f>
        <v>674891.0079915002</v>
      </c>
      <c r="J20" s="109">
        <f ca="1">'Claims Shock'!Q47</f>
        <v>659484.31456134305</v>
      </c>
      <c r="K20" s="109">
        <f ca="1">'Update Assumptions'!Q47</f>
        <v>752967.96618308756</v>
      </c>
      <c r="L20" s="109">
        <f>'Base Case'!R47</f>
        <v>395102.40494056232</v>
      </c>
      <c r="M20" s="109">
        <f>'Claims Shock'!R47</f>
        <v>395102.40494056232</v>
      </c>
      <c r="N20" s="109">
        <f>'Update Assumptions'!R47</f>
        <v>542833.65835632407</v>
      </c>
    </row>
    <row r="21" spans="5:14" x14ac:dyDescent="0.25">
      <c r="E21" s="106">
        <f t="shared" si="0"/>
        <v>8</v>
      </c>
      <c r="F21" s="109">
        <f ca="1">'Base Case'!P48</f>
        <v>1064327.2724077159</v>
      </c>
      <c r="G21" s="109">
        <f ca="1">'Claims Shock'!P48</f>
        <v>1051020.5891047902</v>
      </c>
      <c r="H21" s="109">
        <f ca="1">'Update Assumptions'!P48</f>
        <v>1284276.875672044</v>
      </c>
      <c r="I21" s="109">
        <f ca="1">'Base Case'!Q48</f>
        <v>635521.82381526264</v>
      </c>
      <c r="J21" s="109">
        <f ca="1">'Claims Shock'!Q48</f>
        <v>622215.14051233698</v>
      </c>
      <c r="K21" s="109">
        <f ca="1">'Update Assumptions'!Q48</f>
        <v>696884.57345126662</v>
      </c>
      <c r="L21" s="109">
        <f>'Base Case'!R48</f>
        <v>428805.44859245291</v>
      </c>
      <c r="M21" s="109">
        <f>'Claims Shock'!R48</f>
        <v>428805.44859245291</v>
      </c>
      <c r="N21" s="109">
        <f>'Update Assumptions'!R48</f>
        <v>587392.30222077738</v>
      </c>
    </row>
    <row r="22" spans="5:14" x14ac:dyDescent="0.25">
      <c r="E22" s="106">
        <f t="shared" si="0"/>
        <v>9</v>
      </c>
      <c r="F22" s="109">
        <f ca="1">'Base Case'!P49</f>
        <v>1027012.5300219713</v>
      </c>
      <c r="G22" s="109">
        <f ca="1">'Claims Shock'!P49</f>
        <v>1015747.3949808662</v>
      </c>
      <c r="H22" s="109">
        <f ca="1">'Update Assumptions'!P49</f>
        <v>1235911.1779753577</v>
      </c>
      <c r="I22" s="109">
        <f ca="1">'Base Case'!Q49</f>
        <v>568862.09815516812</v>
      </c>
      <c r="J22" s="109">
        <f ca="1">'Claims Shock'!Q49</f>
        <v>557596.96311406302</v>
      </c>
      <c r="K22" s="109">
        <f ca="1">'Update Assumptions'!Q49</f>
        <v>607770.09941011644</v>
      </c>
      <c r="L22" s="109">
        <f>'Base Case'!R49</f>
        <v>458150.43186680309</v>
      </c>
      <c r="M22" s="109">
        <f>'Claims Shock'!R49</f>
        <v>458150.43186680309</v>
      </c>
      <c r="N22" s="109">
        <f>'Update Assumptions'!R49</f>
        <v>628141.0785652406</v>
      </c>
    </row>
    <row r="23" spans="5:14" x14ac:dyDescent="0.25">
      <c r="E23" s="106">
        <f t="shared" si="0"/>
        <v>10</v>
      </c>
      <c r="F23" s="109">
        <f ca="1">'Base Case'!P50</f>
        <v>960194.30317892658</v>
      </c>
      <c r="G23" s="109">
        <f ca="1">'Claims Shock'!P50</f>
        <v>950916.80647993425</v>
      </c>
      <c r="H23" s="109">
        <f ca="1">'Update Assumptions'!P50</f>
        <v>1151127.8621687593</v>
      </c>
      <c r="I23" s="109">
        <f ca="1">'Base Case'!Q50</f>
        <v>476705.39998668933</v>
      </c>
      <c r="J23" s="109">
        <f ca="1">'Claims Shock'!Q50</f>
        <v>467427.903287697</v>
      </c>
      <c r="K23" s="109">
        <f ca="1">'Update Assumptions'!Q50</f>
        <v>487781.36564905313</v>
      </c>
      <c r="L23" s="109">
        <f>'Base Case'!R50</f>
        <v>483488.90319223714</v>
      </c>
      <c r="M23" s="109">
        <f>'Claims Shock'!R50</f>
        <v>483488.90319223714</v>
      </c>
      <c r="N23" s="109">
        <f>'Update Assumptions'!R50</f>
        <v>663346.49651970575</v>
      </c>
    </row>
    <row r="24" spans="5:14" x14ac:dyDescent="0.25">
      <c r="E24" s="106">
        <f t="shared" si="0"/>
        <v>11</v>
      </c>
      <c r="F24" s="109">
        <f ca="1">'Base Case'!P51</f>
        <v>865846.13226225635</v>
      </c>
      <c r="G24" s="109">
        <f ca="1">'Claims Shock'!P51</f>
        <v>858506.74534392334</v>
      </c>
      <c r="H24" s="109">
        <f ca="1">'Update Assumptions'!P51</f>
        <v>1032358.0819583179</v>
      </c>
      <c r="I24" s="109">
        <f ca="1">'Base Case'!Q51</f>
        <v>360697.98095679551</v>
      </c>
      <c r="J24" s="109">
        <f ca="1">'Claims Shock'!Q51</f>
        <v>353358.5940384625</v>
      </c>
      <c r="K24" s="109">
        <f ca="1">'Update Assumptions'!Q51</f>
        <v>338897.06197600684</v>
      </c>
      <c r="L24" s="109">
        <f>'Base Case'!R51</f>
        <v>505148.15130546072</v>
      </c>
      <c r="M24" s="109">
        <f>'Claims Shock'!R51</f>
        <v>505148.15130546072</v>
      </c>
      <c r="N24" s="109">
        <f>'Update Assumptions'!R51</f>
        <v>693461.01998231118</v>
      </c>
    </row>
    <row r="25" spans="5:14" x14ac:dyDescent="0.25">
      <c r="E25" s="106">
        <f t="shared" ref="E25:E27" si="1">E24+1</f>
        <v>12</v>
      </c>
      <c r="F25" s="109">
        <f ca="1">'Base Case'!P52</f>
        <v>741514.50831420661</v>
      </c>
      <c r="G25" s="109">
        <f ca="1">'Claims Shock'!P52</f>
        <v>736067.92391059978</v>
      </c>
      <c r="H25" s="109">
        <f ca="1">'Update Assumptions'!P52</f>
        <v>877568.3157504769</v>
      </c>
      <c r="I25" s="109">
        <f ca="1">'Base Case'!Q52</f>
        <v>251384.31817880098</v>
      </c>
      <c r="J25" s="109">
        <f ca="1">'Claims Shock'!Q52</f>
        <v>245937.73377519415</v>
      </c>
      <c r="K25" s="109">
        <f ca="1">'Update Assumptions'!Q52</f>
        <v>213460.32447376108</v>
      </c>
      <c r="L25" s="109">
        <f>'Base Case'!R52</f>
        <v>490130.19013540552</v>
      </c>
      <c r="M25" s="109">
        <f>'Claims Shock'!R52</f>
        <v>490130.19013540552</v>
      </c>
      <c r="N25" s="109">
        <f>'Update Assumptions'!R52</f>
        <v>664107.99127671577</v>
      </c>
    </row>
    <row r="26" spans="5:14" x14ac:dyDescent="0.25">
      <c r="E26" s="106">
        <f t="shared" si="1"/>
        <v>13</v>
      </c>
      <c r="F26" s="109">
        <f ca="1">'Base Case'!P53</f>
        <v>574704.72227091296</v>
      </c>
      <c r="G26" s="109">
        <f ca="1">'Claims Shock'!P53</f>
        <v>571109.70441720437</v>
      </c>
      <c r="H26" s="109">
        <f ca="1">'Update Assumptions'!P53</f>
        <v>674221.91413207306</v>
      </c>
      <c r="I26" s="109">
        <f ca="1">'Base Case'!Q53</f>
        <v>141280.57436217024</v>
      </c>
      <c r="J26" s="109">
        <f ca="1">'Claims Shock'!Q53</f>
        <v>137685.5565084616</v>
      </c>
      <c r="K26" s="109">
        <f ca="1">'Update Assumptions'!Q53</f>
        <v>101871.06912666553</v>
      </c>
      <c r="L26" s="109">
        <f>'Base Case'!R53</f>
        <v>433424.14790874277</v>
      </c>
      <c r="M26" s="109">
        <f>'Claims Shock'!R53</f>
        <v>433424.14790874277</v>
      </c>
      <c r="N26" s="109">
        <f>'Update Assumptions'!R53</f>
        <v>572350.84500540746</v>
      </c>
    </row>
    <row r="27" spans="5:14" x14ac:dyDescent="0.25">
      <c r="E27" s="106">
        <f t="shared" si="1"/>
        <v>14</v>
      </c>
      <c r="F27" s="109">
        <f ca="1">'Base Case'!P54</f>
        <v>343027.4255089162</v>
      </c>
      <c r="G27" s="109">
        <f ca="1">'Claims Shock'!P54</f>
        <v>341246.66918415093</v>
      </c>
      <c r="H27" s="109">
        <f ca="1">'Update Assumptions'!P54</f>
        <v>398460.14059858298</v>
      </c>
      <c r="I27" s="109">
        <f ca="1">'Base Case'!Q54</f>
        <v>45206.217239137273</v>
      </c>
      <c r="J27" s="109">
        <f ca="1">'Claims Shock'!Q54</f>
        <v>43425.460914372001</v>
      </c>
      <c r="K27" s="109">
        <f ca="1">'Update Assumptions'!Q54</f>
        <v>19157.37906428217</v>
      </c>
      <c r="L27" s="109">
        <f>'Base Case'!R54</f>
        <v>297821.20826977893</v>
      </c>
      <c r="M27" s="109">
        <f>'Claims Shock'!R54</f>
        <v>297821.20826977893</v>
      </c>
      <c r="N27" s="109">
        <f>'Update Assumptions'!R54</f>
        <v>379302.76153430087</v>
      </c>
    </row>
    <row r="36" spans="3:14" x14ac:dyDescent="0.25">
      <c r="C36" s="2" t="s">
        <v>26</v>
      </c>
    </row>
    <row r="37" spans="3:14" x14ac:dyDescent="0.25">
      <c r="F37" s="120" t="s">
        <v>26</v>
      </c>
      <c r="G37" s="120"/>
      <c r="H37" s="120"/>
      <c r="I37" s="120" t="s">
        <v>21</v>
      </c>
      <c r="J37" s="120"/>
      <c r="K37" s="120"/>
      <c r="M37" s="108"/>
      <c r="N37" s="108"/>
    </row>
    <row r="38" spans="3:14" x14ac:dyDescent="0.25">
      <c r="E38" s="108" t="s">
        <v>25</v>
      </c>
      <c r="F38" s="108" t="s">
        <v>58</v>
      </c>
      <c r="G38" s="108" t="s">
        <v>63</v>
      </c>
      <c r="H38" s="108" t="s">
        <v>64</v>
      </c>
      <c r="I38" s="108" t="s">
        <v>58</v>
      </c>
      <c r="J38" s="108" t="s">
        <v>63</v>
      </c>
      <c r="K38" s="108" t="s">
        <v>64</v>
      </c>
      <c r="M38" s="108"/>
      <c r="N38" s="108"/>
    </row>
    <row r="39" spans="3:14" x14ac:dyDescent="0.25">
      <c r="E39" s="106">
        <v>1</v>
      </c>
      <c r="F39" s="109">
        <f ca="1">'Base Case'!N41</f>
        <v>163723.62458866287</v>
      </c>
      <c r="G39" s="109">
        <f ca="1">'Claims Shock'!N41</f>
        <v>163723.62458866287</v>
      </c>
      <c r="H39" s="109">
        <f ca="1">'Update Assumptions'!N41</f>
        <v>163723.62458866287</v>
      </c>
      <c r="I39" s="110">
        <f ca="1">'Base Case'!O41</f>
        <v>0.35000000000000053</v>
      </c>
      <c r="J39" s="110">
        <f ca="1">'Claims Shock'!O41</f>
        <v>0.35000000000000053</v>
      </c>
      <c r="K39" s="110">
        <f ca="1">'Update Assumptions'!O41</f>
        <v>0.35000000000000053</v>
      </c>
      <c r="M39" s="109"/>
      <c r="N39" s="109"/>
    </row>
    <row r="40" spans="3:14" x14ac:dyDescent="0.25">
      <c r="E40" s="106">
        <f>E39+1</f>
        <v>2</v>
      </c>
      <c r="F40" s="109">
        <f ca="1">'Base Case'!N42</f>
        <v>155537.44335922983</v>
      </c>
      <c r="G40" s="109">
        <f ca="1">'Claims Shock'!N42</f>
        <v>155537.44335922983</v>
      </c>
      <c r="H40" s="109">
        <f ca="1">'Update Assumptions'!N42</f>
        <v>155537.44335922983</v>
      </c>
      <c r="I40" s="110">
        <f ca="1">'Base Case'!O42</f>
        <v>0.3500000000000007</v>
      </c>
      <c r="J40" s="110">
        <f ca="1">'Claims Shock'!O42</f>
        <v>0.3500000000000007</v>
      </c>
      <c r="K40" s="110">
        <f ca="1">'Update Assumptions'!O42</f>
        <v>0.3500000000000007</v>
      </c>
      <c r="M40" s="109"/>
      <c r="N40" s="109"/>
    </row>
    <row r="41" spans="3:14" x14ac:dyDescent="0.25">
      <c r="E41" s="106">
        <f t="shared" ref="E41:E52" si="2">E40+1</f>
        <v>3</v>
      </c>
      <c r="F41" s="109">
        <f ca="1">'Base Case'!N43</f>
        <v>147760.57119126758</v>
      </c>
      <c r="G41" s="109">
        <f ca="1">'Claims Shock'!N43</f>
        <v>147760.57119126758</v>
      </c>
      <c r="H41" s="109">
        <f ca="1">'Update Assumptions'!N43</f>
        <v>147760.57119126758</v>
      </c>
      <c r="I41" s="110">
        <f ca="1">'Base Case'!O43</f>
        <v>0.34999999999999898</v>
      </c>
      <c r="J41" s="110">
        <f ca="1">'Claims Shock'!O43</f>
        <v>0.34999999999999898</v>
      </c>
      <c r="K41" s="110">
        <f ca="1">'Update Assumptions'!O43</f>
        <v>0.34999999999999898</v>
      </c>
      <c r="M41" s="109"/>
      <c r="N41" s="109"/>
    </row>
    <row r="42" spans="3:14" x14ac:dyDescent="0.25">
      <c r="E42" s="106">
        <f t="shared" si="2"/>
        <v>4</v>
      </c>
      <c r="F42" s="109">
        <f ca="1">'Base Case'!N44</f>
        <v>140372.54263170523</v>
      </c>
      <c r="G42" s="109">
        <f ca="1">'Claims Shock'!N44</f>
        <v>125565.73191976169</v>
      </c>
      <c r="H42" s="109">
        <f ca="1">'Update Assumptions'!N44</f>
        <v>125565.73191976169</v>
      </c>
      <c r="I42" s="110">
        <f ca="1">'Base Case'!O44</f>
        <v>0.35000000000000153</v>
      </c>
      <c r="J42" s="110">
        <f ca="1">'Claims Shock'!O44</f>
        <v>0.31308121480155099</v>
      </c>
      <c r="K42" s="110">
        <f ca="1">'Update Assumptions'!O44</f>
        <v>0.31308121480155099</v>
      </c>
      <c r="M42" s="109"/>
      <c r="N42" s="109"/>
    </row>
    <row r="43" spans="3:14" x14ac:dyDescent="0.25">
      <c r="E43" s="106">
        <f t="shared" si="2"/>
        <v>5</v>
      </c>
      <c r="F43" s="109">
        <f ca="1">'Base Case'!N45</f>
        <v>133353.91550011939</v>
      </c>
      <c r="G43" s="109">
        <f ca="1">'Claims Shock'!N45</f>
        <v>130275.63073874067</v>
      </c>
      <c r="H43" s="109">
        <f ca="1">'Update Assumptions'!N45</f>
        <v>-120524.32764550915</v>
      </c>
      <c r="I43" s="110">
        <f ca="1">'Base Case'!O45</f>
        <v>0.35000000000000003</v>
      </c>
      <c r="J43" s="110">
        <f ca="1">'Claims Shock'!O45</f>
        <v>0.34192074966496516</v>
      </c>
      <c r="K43" s="110">
        <f ca="1">'Update Assumptions'!O45</f>
        <v>-0.31632752977463524</v>
      </c>
      <c r="M43" s="109"/>
      <c r="N43" s="109"/>
    </row>
    <row r="44" spans="3:14" x14ac:dyDescent="0.25">
      <c r="E44" s="106">
        <f t="shared" si="2"/>
        <v>6</v>
      </c>
      <c r="F44" s="109">
        <f ca="1">'Base Case'!N46</f>
        <v>126686.219725114</v>
      </c>
      <c r="G44" s="109">
        <f ca="1">'Claims Shock'!N46</f>
        <v>123761.84920180397</v>
      </c>
      <c r="H44" s="109">
        <f ca="1">'Update Assumptions'!N46</f>
        <v>83908.635018203815</v>
      </c>
      <c r="I44" s="110">
        <f ca="1">'Base Case'!O46</f>
        <v>0.3500000000000017</v>
      </c>
      <c r="J44" s="110">
        <f ca="1">'Claims Shock'!O46</f>
        <v>0.34192074966496611</v>
      </c>
      <c r="K44" s="110">
        <f ca="1">'Update Assumptions'!O46</f>
        <v>0.23181702256247547</v>
      </c>
      <c r="M44" s="109"/>
      <c r="N44" s="109"/>
    </row>
    <row r="45" spans="3:14" x14ac:dyDescent="0.25">
      <c r="E45" s="106">
        <f t="shared" si="2"/>
        <v>7</v>
      </c>
      <c r="F45" s="109">
        <f ca="1">'Base Case'!N47</f>
        <v>120351.90873885719</v>
      </c>
      <c r="G45" s="109">
        <f ca="1">'Claims Shock'!N47</f>
        <v>117573.75674171362</v>
      </c>
      <c r="H45" s="109">
        <f ca="1">'Update Assumptions'!N47</f>
        <v>79713.203267291246</v>
      </c>
      <c r="I45" s="110">
        <f ca="1">'Base Case'!O47</f>
        <v>0.34999999999999853</v>
      </c>
      <c r="J45" s="110">
        <f ca="1">'Claims Shock'!O47</f>
        <v>0.34192074966496572</v>
      </c>
      <c r="K45" s="110">
        <f ca="1">'Update Assumptions'!O47</f>
        <v>0.23181702256246858</v>
      </c>
      <c r="M45" s="109"/>
      <c r="N45" s="109"/>
    </row>
    <row r="46" spans="3:14" x14ac:dyDescent="0.25">
      <c r="E46" s="106">
        <f t="shared" si="2"/>
        <v>8</v>
      </c>
      <c r="F46" s="109">
        <f ca="1">'Base Case'!N48</f>
        <v>114334.31330191495</v>
      </c>
      <c r="G46" s="109">
        <f ca="1">'Claims Shock'!N48</f>
        <v>111695.06890462799</v>
      </c>
      <c r="H46" s="109">
        <f ca="1">'Update Assumptions'!N48</f>
        <v>75727.54310392862</v>
      </c>
      <c r="I46" s="110">
        <f ca="1">'Base Case'!O48</f>
        <v>0.35000000000000037</v>
      </c>
      <c r="J46" s="110">
        <f ca="1">'Claims Shock'!O48</f>
        <v>0.34192074966496583</v>
      </c>
      <c r="K46" s="110">
        <f ca="1">'Update Assumptions'!O48</f>
        <v>0.2318170225624745</v>
      </c>
      <c r="M46" s="109"/>
      <c r="N46" s="109"/>
    </row>
    <row r="47" spans="3:14" x14ac:dyDescent="0.25">
      <c r="E47" s="106">
        <f t="shared" si="2"/>
        <v>9</v>
      </c>
      <c r="F47" s="109">
        <f ca="1">'Base Case'!N49</f>
        <v>108617.59763681929</v>
      </c>
      <c r="G47" s="109">
        <f ca="1">'Claims Shock'!N49</f>
        <v>106110.31545939628</v>
      </c>
      <c r="H47" s="109">
        <f ca="1">'Update Assumptions'!N49</f>
        <v>71941.165948731184</v>
      </c>
      <c r="I47" s="110">
        <f ca="1">'Base Case'!O49</f>
        <v>0.3500000000000007</v>
      </c>
      <c r="J47" s="110">
        <f ca="1">'Claims Shock'!O49</f>
        <v>0.34192074966496488</v>
      </c>
      <c r="K47" s="110">
        <f ca="1">'Update Assumptions'!O49</f>
        <v>0.23181702256247128</v>
      </c>
      <c r="M47" s="109"/>
      <c r="N47" s="109"/>
    </row>
    <row r="48" spans="3:14" x14ac:dyDescent="0.25">
      <c r="E48" s="106">
        <f t="shared" si="2"/>
        <v>10</v>
      </c>
      <c r="F48" s="109">
        <f ca="1">'Base Case'!N50</f>
        <v>103186.71775497834</v>
      </c>
      <c r="G48" s="109">
        <f ca="1">'Claims Shock'!N50</f>
        <v>100804.79968642688</v>
      </c>
      <c r="H48" s="109">
        <f ca="1">'Update Assumptions'!N50</f>
        <v>68344.107651295082</v>
      </c>
      <c r="I48" s="110">
        <f ca="1">'Base Case'!O50</f>
        <v>0.3500000000000007</v>
      </c>
      <c r="J48" s="110">
        <f ca="1">'Claims Shock'!O50</f>
        <v>0.34192074966496627</v>
      </c>
      <c r="K48" s="110">
        <f ca="1">'Update Assumptions'!O50</f>
        <v>0.2318170225624728</v>
      </c>
      <c r="M48" s="109"/>
      <c r="N48" s="109"/>
    </row>
    <row r="49" spans="5:14" x14ac:dyDescent="0.25">
      <c r="E49" s="106">
        <f t="shared" si="2"/>
        <v>11</v>
      </c>
      <c r="F49" s="109">
        <f ca="1">'Base Case'!N51</f>
        <v>98027.38186722924</v>
      </c>
      <c r="G49" s="109">
        <f ca="1">'Claims Shock'!N51</f>
        <v>95764.55970210518</v>
      </c>
      <c r="H49" s="109">
        <f ca="1">'Update Assumptions'!N51</f>
        <v>64926.90226873057</v>
      </c>
      <c r="I49" s="110">
        <f ca="1">'Base Case'!O51</f>
        <v>0.35000000000000003</v>
      </c>
      <c r="J49" s="110">
        <f ca="1">'Claims Shock'!O51</f>
        <v>0.341920749664965</v>
      </c>
      <c r="K49" s="110">
        <f ca="1">'Update Assumptions'!O51</f>
        <v>0.23181702256247366</v>
      </c>
      <c r="M49" s="109"/>
      <c r="N49" s="109"/>
    </row>
    <row r="50" spans="5:14" x14ac:dyDescent="0.25">
      <c r="E50" s="106">
        <f t="shared" si="2"/>
        <v>12</v>
      </c>
      <c r="F50" s="109">
        <f ca="1">'Base Case'!N52</f>
        <v>93126.012773867697</v>
      </c>
      <c r="G50" s="109">
        <f ca="1">'Claims Shock'!N52</f>
        <v>90976.331716999877</v>
      </c>
      <c r="H50" s="109">
        <f ca="1">'Update Assumptions'!N52</f>
        <v>61680.557155293354</v>
      </c>
      <c r="I50" s="110">
        <f ca="1">'Base Case'!O52</f>
        <v>0.34999999999999981</v>
      </c>
      <c r="J50" s="110">
        <f ca="1">'Claims Shock'!O52</f>
        <v>0.34192074966496488</v>
      </c>
      <c r="K50" s="110">
        <f ca="1">'Update Assumptions'!O52</f>
        <v>0.23181702256247111</v>
      </c>
      <c r="M50" s="109"/>
      <c r="N50" s="109"/>
    </row>
    <row r="51" spans="5:14" x14ac:dyDescent="0.25">
      <c r="E51" s="106">
        <f t="shared" si="2"/>
        <v>13</v>
      </c>
      <c r="F51" s="109">
        <f ca="1">'Base Case'!N53</f>
        <v>88469.712135174661</v>
      </c>
      <c r="G51" s="109">
        <f ca="1">'Claims Shock'!N53</f>
        <v>86427.515131150198</v>
      </c>
      <c r="H51" s="109">
        <f ca="1">'Update Assumptions'!N53</f>
        <v>58596.529297529138</v>
      </c>
      <c r="I51" s="110">
        <f ca="1">'Base Case'!O53</f>
        <v>0.3500000000000012</v>
      </c>
      <c r="J51" s="110">
        <f ca="1">'Claims Shock'!O53</f>
        <v>0.34192074966496611</v>
      </c>
      <c r="K51" s="110">
        <f ca="1">'Update Assumptions'!O53</f>
        <v>0.23181702256247289</v>
      </c>
      <c r="M51" s="109"/>
      <c r="N51" s="109"/>
    </row>
    <row r="52" spans="5:14" x14ac:dyDescent="0.25">
      <c r="E52" s="106">
        <f t="shared" si="2"/>
        <v>14</v>
      </c>
      <c r="F52" s="109">
        <f ca="1">'Base Case'!N54</f>
        <v>84046.22652841566</v>
      </c>
      <c r="G52" s="109">
        <f ca="1">'Claims Shock'!N54</f>
        <v>82106.139374592545</v>
      </c>
      <c r="H52" s="109">
        <f ca="1">'Update Assumptions'!N54</f>
        <v>55666.702832652605</v>
      </c>
      <c r="I52" s="110">
        <f ca="1">'Base Case'!O54</f>
        <v>0.35000000000000009</v>
      </c>
      <c r="J52" s="110">
        <f ca="1">'Claims Shock'!O54</f>
        <v>0.34192074966496555</v>
      </c>
      <c r="K52" s="110">
        <f ca="1">'Update Assumptions'!O54</f>
        <v>0.23181702256247261</v>
      </c>
      <c r="M52" s="109"/>
      <c r="N52" s="109"/>
    </row>
  </sheetData>
  <mergeCells count="5">
    <mergeCell ref="F37:H37"/>
    <mergeCell ref="I37:K37"/>
    <mergeCell ref="F12:H12"/>
    <mergeCell ref="I12:K12"/>
    <mergeCell ref="L12:N12"/>
  </mergeCells>
  <pageMargins left="0.75" right="0.75" top="1" bottom="1" header="0.5" footer="0.5"/>
  <pageSetup orientation="portrait" horizontalDpi="0" verticalDpi="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19511-612E-44A1-BBED-4C3FDA9D3060}">
  <sheetPr codeName="Sheet7">
    <tabColor theme="1"/>
  </sheetPr>
  <dimension ref="A1:N52"/>
  <sheetViews>
    <sheetView showGridLines="0" zoomScaleNormal="100" workbookViewId="0">
      <selection activeCell="G5" sqref="G5"/>
    </sheetView>
  </sheetViews>
  <sheetFormatPr defaultColWidth="8.7109375" defaultRowHeight="15" x14ac:dyDescent="0.25"/>
  <cols>
    <col min="1" max="4" width="1.85546875" style="106" customWidth="1"/>
    <col min="5" max="5" width="8.7109375" style="106"/>
    <col min="6" max="6" width="13.140625" style="106" bestFit="1" customWidth="1"/>
    <col min="7" max="7" width="14.5703125" style="106" bestFit="1" customWidth="1"/>
    <col min="8" max="8" width="13.42578125" style="106" bestFit="1" customWidth="1"/>
    <col min="9" max="9" width="13.140625" style="106" bestFit="1" customWidth="1"/>
    <col min="10" max="10" width="14.5703125" style="106" bestFit="1" customWidth="1"/>
    <col min="11" max="11" width="13.42578125" style="106" bestFit="1" customWidth="1"/>
    <col min="12" max="12" width="13.140625" style="106" bestFit="1" customWidth="1"/>
    <col min="13" max="13" width="14.5703125" style="106" bestFit="1" customWidth="1"/>
    <col min="14" max="14" width="13.42578125" style="106" bestFit="1" customWidth="1"/>
    <col min="15" max="16384" width="8.7109375" style="106"/>
  </cols>
  <sheetData>
    <row r="1" spans="1:14" x14ac:dyDescent="0.25">
      <c r="A1" s="4" t="s">
        <v>95</v>
      </c>
    </row>
    <row r="2" spans="1:14" x14ac:dyDescent="0.25">
      <c r="A2" s="1" t="s">
        <v>96</v>
      </c>
    </row>
    <row r="3" spans="1:14" x14ac:dyDescent="0.25">
      <c r="A3" s="5" t="s">
        <v>97</v>
      </c>
    </row>
    <row r="4" spans="1:14" x14ac:dyDescent="0.25">
      <c r="A4" s="6" t="s">
        <v>108</v>
      </c>
    </row>
    <row r="6" spans="1:14" x14ac:dyDescent="0.25">
      <c r="B6" s="2" t="s">
        <v>0</v>
      </c>
    </row>
    <row r="7" spans="1:14" x14ac:dyDescent="0.25">
      <c r="B7" s="2" t="s">
        <v>1</v>
      </c>
    </row>
    <row r="9" spans="1:14" x14ac:dyDescent="0.25">
      <c r="B9" s="2" t="s">
        <v>23</v>
      </c>
    </row>
    <row r="10" spans="1:14" x14ac:dyDescent="0.25">
      <c r="C10" s="2" t="s">
        <v>24</v>
      </c>
    </row>
    <row r="12" spans="1:14" x14ac:dyDescent="0.25">
      <c r="F12" s="120" t="s">
        <v>69</v>
      </c>
      <c r="G12" s="120"/>
      <c r="H12" s="120"/>
      <c r="I12" s="120" t="s">
        <v>27</v>
      </c>
      <c r="J12" s="120"/>
      <c r="K12" s="120"/>
      <c r="L12" s="120" t="s">
        <v>15</v>
      </c>
      <c r="M12" s="120"/>
      <c r="N12" s="120"/>
    </row>
    <row r="13" spans="1:14" x14ac:dyDescent="0.25">
      <c r="E13" s="108" t="s">
        <v>25</v>
      </c>
      <c r="F13" s="108" t="s">
        <v>64</v>
      </c>
      <c r="G13" s="108" t="s">
        <v>65</v>
      </c>
      <c r="H13" s="108" t="s">
        <v>66</v>
      </c>
      <c r="I13" s="108" t="s">
        <v>64</v>
      </c>
      <c r="J13" s="108" t="s">
        <v>65</v>
      </c>
      <c r="K13" s="108" t="s">
        <v>66</v>
      </c>
      <c r="L13" s="108" t="s">
        <v>64</v>
      </c>
      <c r="M13" s="108" t="s">
        <v>65</v>
      </c>
      <c r="N13" s="108" t="s">
        <v>66</v>
      </c>
    </row>
    <row r="14" spans="1:14" x14ac:dyDescent="0.25">
      <c r="E14" s="106">
        <v>1</v>
      </c>
      <c r="F14" s="109">
        <f ca="1">'Update Assumptions'!P41</f>
        <v>279058.15995037323</v>
      </c>
      <c r="G14" s="109">
        <f ca="1">'Assume Rate Increase'!P41</f>
        <v>279058.15995037323</v>
      </c>
      <c r="H14" s="109">
        <f ca="1">'Actual Rate Increase'!P41</f>
        <v>279058.15995037323</v>
      </c>
      <c r="I14" s="109">
        <f ca="1">'Update Assumptions'!Q41</f>
        <v>216445.12562154746</v>
      </c>
      <c r="J14" s="109">
        <f ca="1">'Assume Rate Increase'!Q41</f>
        <v>216445.12562154746</v>
      </c>
      <c r="K14" s="109">
        <f ca="1">'Actual Rate Increase'!Q41</f>
        <v>216445.12562154746</v>
      </c>
      <c r="L14" s="109">
        <f>'Update Assumptions'!R41</f>
        <v>62613.034328825532</v>
      </c>
      <c r="M14" s="109">
        <f>'Assume Rate Increase'!R41</f>
        <v>62613.034328825532</v>
      </c>
      <c r="N14" s="109">
        <f>'Actual Rate Increase'!R41</f>
        <v>62613.034328825532</v>
      </c>
    </row>
    <row r="15" spans="1:14" x14ac:dyDescent="0.25">
      <c r="E15" s="106">
        <f>E14+1</f>
        <v>2</v>
      </c>
      <c r="F15" s="109">
        <f ca="1">'Update Assumptions'!P42</f>
        <v>520805.44750149082</v>
      </c>
      <c r="G15" s="109">
        <f ca="1">'Assume Rate Increase'!P42</f>
        <v>520805.44750149082</v>
      </c>
      <c r="H15" s="109">
        <f ca="1">'Actual Rate Increase'!P42</f>
        <v>520805.44750149082</v>
      </c>
      <c r="I15" s="109">
        <f ca="1">'Update Assumptions'!Q42</f>
        <v>388027.38305258006</v>
      </c>
      <c r="J15" s="109">
        <f ca="1">'Assume Rate Increase'!Q42</f>
        <v>388027.38305258006</v>
      </c>
      <c r="K15" s="109">
        <f ca="1">'Actual Rate Increase'!Q42</f>
        <v>388027.38305258006</v>
      </c>
      <c r="L15" s="109">
        <f>'Update Assumptions'!R42</f>
        <v>132778.06444891082</v>
      </c>
      <c r="M15" s="109">
        <f>'Assume Rate Increase'!R42</f>
        <v>132778.06444891082</v>
      </c>
      <c r="N15" s="109">
        <f>'Actual Rate Increase'!R42</f>
        <v>132778.06444891082</v>
      </c>
    </row>
    <row r="16" spans="1:14" x14ac:dyDescent="0.25">
      <c r="E16" s="106">
        <f t="shared" ref="E16:E27" si="0">E15+1</f>
        <v>3</v>
      </c>
      <c r="F16" s="109">
        <f ca="1">'Update Assumptions'!P43</f>
        <v>719977.3775192555</v>
      </c>
      <c r="G16" s="109">
        <f ca="1">'Assume Rate Increase'!P43</f>
        <v>719977.3775192555</v>
      </c>
      <c r="H16" s="109">
        <f ca="1">'Actual Rate Increase'!P43</f>
        <v>719977.3775192555</v>
      </c>
      <c r="I16" s="109">
        <f ca="1">'Update Assumptions'!Q43</f>
        <v>517879.30385110201</v>
      </c>
      <c r="J16" s="109">
        <f ca="1">'Assume Rate Increase'!Q43</f>
        <v>517879.30385110201</v>
      </c>
      <c r="K16" s="109">
        <f ca="1">'Actual Rate Increase'!Q43</f>
        <v>517879.30385110201</v>
      </c>
      <c r="L16" s="109">
        <f>'Update Assumptions'!R43</f>
        <v>202098.07366815279</v>
      </c>
      <c r="M16" s="109">
        <f>'Assume Rate Increase'!R43</f>
        <v>202098.07366815279</v>
      </c>
      <c r="N16" s="109">
        <f>'Actual Rate Increase'!R43</f>
        <v>202098.07366815279</v>
      </c>
    </row>
    <row r="17" spans="5:14" x14ac:dyDescent="0.25">
      <c r="E17" s="106">
        <f t="shared" si="0"/>
        <v>4</v>
      </c>
      <c r="F17" s="109">
        <f ca="1">'Update Assumptions'!P44</f>
        <v>873620.57383182389</v>
      </c>
      <c r="G17" s="109">
        <f ca="1">'Assume Rate Increase'!P44</f>
        <v>873620.57383182389</v>
      </c>
      <c r="H17" s="109">
        <f ca="1">'Actual Rate Increase'!P44</f>
        <v>873620.57383182389</v>
      </c>
      <c r="I17" s="109">
        <f ca="1">'Update Assumptions'!Q44</f>
        <v>586798.07306670421</v>
      </c>
      <c r="J17" s="109">
        <f ca="1">'Assume Rate Increase'!Q44</f>
        <v>586798.07306670421</v>
      </c>
      <c r="K17" s="109">
        <f ca="1">'Actual Rate Increase'!Q44</f>
        <v>586798.07306670421</v>
      </c>
      <c r="L17" s="109">
        <f>'Update Assumptions'!R44</f>
        <v>286822.50076511921</v>
      </c>
      <c r="M17" s="109">
        <f>'Assume Rate Increase'!R44</f>
        <v>286822.50076511921</v>
      </c>
      <c r="N17" s="109">
        <f>'Actual Rate Increase'!R44</f>
        <v>286822.50076511921</v>
      </c>
    </row>
    <row r="18" spans="5:14" x14ac:dyDescent="0.25">
      <c r="E18" s="106">
        <f t="shared" si="0"/>
        <v>5</v>
      </c>
      <c r="F18" s="109">
        <f ca="1">'Update Assumptions'!P45</f>
        <v>1197590.1524546451</v>
      </c>
      <c r="G18" s="109">
        <f ca="1">'Assume Rate Increase'!P45</f>
        <v>1197590.1524546451</v>
      </c>
      <c r="H18" s="109">
        <f ca="1">'Actual Rate Increase'!P45</f>
        <v>1197590.1524546451</v>
      </c>
      <c r="I18" s="109">
        <f ca="1">'Update Assumptions'!Q45</f>
        <v>756453.28513466916</v>
      </c>
      <c r="J18" s="109">
        <f ca="1">'Assume Rate Increase'!Q45</f>
        <v>756453.28513466916</v>
      </c>
      <c r="K18" s="109">
        <f ca="1">'Actual Rate Increase'!Q45</f>
        <v>756453.28513466916</v>
      </c>
      <c r="L18" s="109">
        <f>'Update Assumptions'!R45</f>
        <v>441136.86731997575</v>
      </c>
      <c r="M18" s="109">
        <f>'Assume Rate Increase'!R45</f>
        <v>441136.86731997575</v>
      </c>
      <c r="N18" s="109">
        <f>'Actual Rate Increase'!R45</f>
        <v>441136.86731997575</v>
      </c>
    </row>
    <row r="19" spans="5:14" x14ac:dyDescent="0.25">
      <c r="E19" s="106">
        <f t="shared" si="0"/>
        <v>6</v>
      </c>
      <c r="F19" s="109">
        <f ca="1">'Update Assumptions'!P46</f>
        <v>1269275.8200896422</v>
      </c>
      <c r="G19" s="109">
        <f ca="1">'Assume Rate Increase'!P46</f>
        <v>1110810.3857998571</v>
      </c>
      <c r="H19" s="109">
        <f ca="1">'Actual Rate Increase'!P46</f>
        <v>1110810.3857998571</v>
      </c>
      <c r="I19" s="109">
        <f ca="1">'Update Assumptions'!Q46</f>
        <v>773673.74181747087</v>
      </c>
      <c r="J19" s="109">
        <f ca="1">'Assume Rate Increase'!Q46</f>
        <v>615208.30752768577</v>
      </c>
      <c r="K19" s="109">
        <f ca="1">'Actual Rate Increase'!Q46</f>
        <v>615208.30752768577</v>
      </c>
      <c r="L19" s="109">
        <f>'Update Assumptions'!R46</f>
        <v>495602.07827217155</v>
      </c>
      <c r="M19" s="109">
        <f>'Assume Rate Increase'!R46</f>
        <v>495602.07827217155</v>
      </c>
      <c r="N19" s="109">
        <f>'Actual Rate Increase'!R46</f>
        <v>495602.07827217155</v>
      </c>
    </row>
    <row r="20" spans="5:14" x14ac:dyDescent="0.25">
      <c r="E20" s="106">
        <f t="shared" si="0"/>
        <v>7</v>
      </c>
      <c r="F20" s="109">
        <f ca="1">'Update Assumptions'!P47</f>
        <v>1295801.6245394123</v>
      </c>
      <c r="G20" s="109">
        <f ca="1">'Assume Rate Increase'!P47</f>
        <v>1136164.5556833448</v>
      </c>
      <c r="H20" s="109">
        <f ca="1">'Actual Rate Increase'!P47</f>
        <v>1181334.0258091306</v>
      </c>
      <c r="I20" s="109">
        <f ca="1">'Update Assumptions'!Q47</f>
        <v>752967.96618308756</v>
      </c>
      <c r="J20" s="109">
        <f ca="1">'Assume Rate Increase'!Q47</f>
        <v>593330.89732702007</v>
      </c>
      <c r="K20" s="109">
        <f ca="1">'Actual Rate Increase'!Q47</f>
        <v>638500.36745280586</v>
      </c>
      <c r="L20" s="109">
        <f>'Update Assumptions'!R47</f>
        <v>542833.65835632407</v>
      </c>
      <c r="M20" s="109">
        <f>'Assume Rate Increase'!R47</f>
        <v>542833.65835632407</v>
      </c>
      <c r="N20" s="109">
        <f>'Actual Rate Increase'!R47</f>
        <v>542833.65835632407</v>
      </c>
    </row>
    <row r="21" spans="5:14" x14ac:dyDescent="0.25">
      <c r="E21" s="106">
        <f t="shared" si="0"/>
        <v>8</v>
      </c>
      <c r="F21" s="109">
        <f ca="1">'Update Assumptions'!P48</f>
        <v>1284276.875672044</v>
      </c>
      <c r="G21" s="109">
        <f ca="1">'Assume Rate Increase'!P48</f>
        <v>1146399.1455604676</v>
      </c>
      <c r="H21" s="109">
        <f ca="1">'Actual Rate Increase'!P48</f>
        <v>1185411.788776193</v>
      </c>
      <c r="I21" s="109">
        <f ca="1">'Update Assumptions'!Q48</f>
        <v>696884.57345126662</v>
      </c>
      <c r="J21" s="109">
        <f ca="1">'Assume Rate Increase'!Q48</f>
        <v>559006.84333969024</v>
      </c>
      <c r="K21" s="109">
        <f ca="1">'Actual Rate Increase'!Q48</f>
        <v>598019.48655541567</v>
      </c>
      <c r="L21" s="109">
        <f>'Update Assumptions'!R48</f>
        <v>587392.30222077738</v>
      </c>
      <c r="M21" s="109">
        <f>'Assume Rate Increase'!R48</f>
        <v>587392.30222077738</v>
      </c>
      <c r="N21" s="109">
        <f>'Actual Rate Increase'!R48</f>
        <v>587392.30222077738</v>
      </c>
    </row>
    <row r="22" spans="5:14" x14ac:dyDescent="0.25">
      <c r="E22" s="106">
        <f t="shared" si="0"/>
        <v>9</v>
      </c>
      <c r="F22" s="109">
        <f ca="1">'Update Assumptions'!P49</f>
        <v>1235911.1779753577</v>
      </c>
      <c r="G22" s="109">
        <f ca="1">'Assume Rate Increase'!P49</f>
        <v>1119187.0316566066</v>
      </c>
      <c r="H22" s="109">
        <f ca="1">'Actual Rate Increase'!P49</f>
        <v>1152214.2469386435</v>
      </c>
      <c r="I22" s="109">
        <f ca="1">'Update Assumptions'!Q49</f>
        <v>607770.09941011644</v>
      </c>
      <c r="J22" s="109">
        <f ca="1">'Assume Rate Increase'!Q49</f>
        <v>491045.95309136529</v>
      </c>
      <c r="K22" s="109">
        <f ca="1">'Actual Rate Increase'!Q49</f>
        <v>524073.16837340221</v>
      </c>
      <c r="L22" s="109">
        <f>'Update Assumptions'!R49</f>
        <v>628141.0785652406</v>
      </c>
      <c r="M22" s="109">
        <f>'Assume Rate Increase'!R49</f>
        <v>628141.0785652406</v>
      </c>
      <c r="N22" s="109">
        <f>'Actual Rate Increase'!R49</f>
        <v>628141.0785652406</v>
      </c>
    </row>
    <row r="23" spans="5:14" x14ac:dyDescent="0.25">
      <c r="E23" s="106">
        <f t="shared" si="0"/>
        <v>10</v>
      </c>
      <c r="F23" s="109">
        <f ca="1">'Update Assumptions'!P50</f>
        <v>1151127.8621687593</v>
      </c>
      <c r="G23" s="109">
        <f ca="1">'Assume Rate Increase'!P50</f>
        <v>1054998.7098582457</v>
      </c>
      <c r="H23" s="109">
        <f ca="1">'Actual Rate Increase'!P50</f>
        <v>1082198.5507512265</v>
      </c>
      <c r="I23" s="109">
        <f ca="1">'Update Assumptions'!Q50</f>
        <v>487781.36564905313</v>
      </c>
      <c r="J23" s="109">
        <f ca="1">'Assume Rate Increase'!Q50</f>
        <v>391652.21333853947</v>
      </c>
      <c r="K23" s="109">
        <f ca="1">'Actual Rate Increase'!Q50</f>
        <v>418852.05423152016</v>
      </c>
      <c r="L23" s="109">
        <f>'Update Assumptions'!R50</f>
        <v>663346.49651970575</v>
      </c>
      <c r="M23" s="109">
        <f>'Assume Rate Increase'!R50</f>
        <v>663346.49651970575</v>
      </c>
      <c r="N23" s="109">
        <f>'Actual Rate Increase'!R50</f>
        <v>663346.49651970575</v>
      </c>
    </row>
    <row r="24" spans="5:14" x14ac:dyDescent="0.25">
      <c r="E24" s="106">
        <f t="shared" si="0"/>
        <v>11</v>
      </c>
      <c r="F24" s="109">
        <f ca="1">'Update Assumptions'!P51</f>
        <v>1032358.0819583179</v>
      </c>
      <c r="G24" s="109">
        <f ca="1">'Assume Rate Increase'!P51</f>
        <v>956310.73148986022</v>
      </c>
      <c r="H24" s="109">
        <f ca="1">'Actual Rate Increase'!P51</f>
        <v>977828.40623636439</v>
      </c>
      <c r="I24" s="109">
        <f ca="1">'Update Assumptions'!Q51</f>
        <v>338897.06197600684</v>
      </c>
      <c r="J24" s="109">
        <f ca="1">'Assume Rate Increase'!Q51</f>
        <v>262849.71150754916</v>
      </c>
      <c r="K24" s="109">
        <f ca="1">'Actual Rate Increase'!Q51</f>
        <v>284367.38625405333</v>
      </c>
      <c r="L24" s="109">
        <f>'Update Assumptions'!R51</f>
        <v>693461.01998231118</v>
      </c>
      <c r="M24" s="109">
        <f>'Assume Rate Increase'!R51</f>
        <v>693461.01998231118</v>
      </c>
      <c r="N24" s="109">
        <f>'Actual Rate Increase'!R51</f>
        <v>693461.01998231118</v>
      </c>
    </row>
    <row r="25" spans="5:14" x14ac:dyDescent="0.25">
      <c r="E25" s="106">
        <f t="shared" si="0"/>
        <v>12</v>
      </c>
      <c r="F25" s="109">
        <f ca="1">'Update Assumptions'!P52</f>
        <v>877568.3157504769</v>
      </c>
      <c r="G25" s="109">
        <f ca="1">'Assume Rate Increase'!P52</f>
        <v>821133.31407990109</v>
      </c>
      <c r="H25" s="109">
        <f ca="1">'Actual Rate Increase'!P52</f>
        <v>837101.65489368851</v>
      </c>
      <c r="I25" s="109">
        <f ca="1">'Update Assumptions'!Q52</f>
        <v>213460.32447376108</v>
      </c>
      <c r="J25" s="109">
        <f ca="1">'Assume Rate Increase'!Q52</f>
        <v>157025.3228031852</v>
      </c>
      <c r="K25" s="109">
        <f ca="1">'Actual Rate Increase'!Q52</f>
        <v>172993.66361697263</v>
      </c>
      <c r="L25" s="109">
        <f>'Update Assumptions'!R52</f>
        <v>664107.99127671577</v>
      </c>
      <c r="M25" s="109">
        <f>'Assume Rate Increase'!R52</f>
        <v>664107.99127671577</v>
      </c>
      <c r="N25" s="109">
        <f>'Actual Rate Increase'!R52</f>
        <v>664107.99127671577</v>
      </c>
    </row>
    <row r="26" spans="5:14" x14ac:dyDescent="0.25">
      <c r="E26" s="106">
        <f t="shared" si="0"/>
        <v>13</v>
      </c>
      <c r="F26" s="109">
        <f ca="1">'Update Assumptions'!P53</f>
        <v>674221.91413207306</v>
      </c>
      <c r="G26" s="109">
        <f ca="1">'Assume Rate Increase'!P53</f>
        <v>636971.99316409102</v>
      </c>
      <c r="H26" s="109">
        <f ca="1">'Actual Rate Increase'!P53</f>
        <v>647511.89598495886</v>
      </c>
      <c r="I26" s="109">
        <f ca="1">'Update Assumptions'!Q53</f>
        <v>101871.06912666553</v>
      </c>
      <c r="J26" s="109">
        <f ca="1">'Assume Rate Increase'!Q53</f>
        <v>64621.148158683558</v>
      </c>
      <c r="K26" s="109">
        <f ca="1">'Actual Rate Increase'!Q53</f>
        <v>75161.050979551394</v>
      </c>
      <c r="L26" s="109">
        <f>'Update Assumptions'!R53</f>
        <v>572350.84500540746</v>
      </c>
      <c r="M26" s="109">
        <f>'Assume Rate Increase'!R53</f>
        <v>572350.84500540746</v>
      </c>
      <c r="N26" s="109">
        <f>'Actual Rate Increase'!R53</f>
        <v>572350.84500540746</v>
      </c>
    </row>
    <row r="27" spans="5:14" x14ac:dyDescent="0.25">
      <c r="E27" s="106">
        <f t="shared" si="0"/>
        <v>14</v>
      </c>
      <c r="F27" s="109">
        <f ca="1">'Update Assumptions'!P54</f>
        <v>398460.14059858298</v>
      </c>
      <c r="G27" s="109">
        <f ca="1">'Assume Rate Increase'!P54</f>
        <v>380008.76286973245</v>
      </c>
      <c r="H27" s="109">
        <f ca="1">'Actual Rate Increase'!P54</f>
        <v>385229.59886399866</v>
      </c>
      <c r="I27" s="109">
        <f ca="1">'Update Assumptions'!Q54</f>
        <v>19157.37906428217</v>
      </c>
      <c r="J27" s="109">
        <f ca="1">'Assume Rate Increase'!Q54</f>
        <v>706.00133543167613</v>
      </c>
      <c r="K27" s="109">
        <f ca="1">'Actual Rate Increase'!Q54</f>
        <v>5926.8373296978243</v>
      </c>
      <c r="L27" s="109">
        <f>'Update Assumptions'!R54</f>
        <v>379302.76153430087</v>
      </c>
      <c r="M27" s="109">
        <f>'Assume Rate Increase'!R54</f>
        <v>379302.76153430087</v>
      </c>
      <c r="N27" s="109">
        <f>'Actual Rate Increase'!R54</f>
        <v>379302.76153430087</v>
      </c>
    </row>
    <row r="36" spans="3:14" x14ac:dyDescent="0.25">
      <c r="C36" s="2" t="s">
        <v>26</v>
      </c>
    </row>
    <row r="37" spans="3:14" x14ac:dyDescent="0.25">
      <c r="F37" s="120" t="s">
        <v>26</v>
      </c>
      <c r="G37" s="120"/>
      <c r="H37" s="120"/>
      <c r="I37" s="120" t="s">
        <v>21</v>
      </c>
      <c r="J37" s="120"/>
      <c r="K37" s="120"/>
      <c r="M37" s="108"/>
      <c r="N37" s="108"/>
    </row>
    <row r="38" spans="3:14" x14ac:dyDescent="0.25">
      <c r="E38" s="108" t="s">
        <v>25</v>
      </c>
      <c r="F38" s="108" t="s">
        <v>64</v>
      </c>
      <c r="G38" s="108" t="s">
        <v>65</v>
      </c>
      <c r="H38" s="108" t="s">
        <v>66</v>
      </c>
      <c r="I38" s="108" t="s">
        <v>64</v>
      </c>
      <c r="J38" s="108" t="s">
        <v>65</v>
      </c>
      <c r="K38" s="108" t="s">
        <v>66</v>
      </c>
      <c r="M38" s="108"/>
      <c r="N38" s="108"/>
    </row>
    <row r="39" spans="3:14" x14ac:dyDescent="0.25">
      <c r="E39" s="106">
        <v>1</v>
      </c>
      <c r="F39" s="109">
        <f ca="1">'Update Assumptions'!N41</f>
        <v>163723.62458866287</v>
      </c>
      <c r="G39" s="109">
        <f ca="1">'Assume Rate Increase'!N41</f>
        <v>163723.62458866287</v>
      </c>
      <c r="H39" s="109">
        <f ca="1">'Actual Rate Increase'!N41</f>
        <v>163723.62458866287</v>
      </c>
      <c r="I39" s="110">
        <f ca="1">'Update Assumptions'!O41</f>
        <v>0.35000000000000053</v>
      </c>
      <c r="J39" s="110">
        <f ca="1">'Assume Rate Increase'!O41</f>
        <v>0.35000000000000053</v>
      </c>
      <c r="K39" s="110">
        <f ca="1">'Actual Rate Increase'!O41</f>
        <v>0.35000000000000053</v>
      </c>
      <c r="M39" s="109"/>
      <c r="N39" s="109"/>
    </row>
    <row r="40" spans="3:14" x14ac:dyDescent="0.25">
      <c r="E40" s="106">
        <f>E39+1</f>
        <v>2</v>
      </c>
      <c r="F40" s="109">
        <f ca="1">'Update Assumptions'!N42</f>
        <v>155537.44335922983</v>
      </c>
      <c r="G40" s="109">
        <f ca="1">'Assume Rate Increase'!N42</f>
        <v>155537.44335922983</v>
      </c>
      <c r="H40" s="109">
        <f ca="1">'Actual Rate Increase'!N42</f>
        <v>155537.44335922983</v>
      </c>
      <c r="I40" s="110">
        <f ca="1">'Update Assumptions'!O42</f>
        <v>0.3500000000000007</v>
      </c>
      <c r="J40" s="110">
        <f ca="1">'Assume Rate Increase'!O42</f>
        <v>0.3500000000000007</v>
      </c>
      <c r="K40" s="110">
        <f ca="1">'Actual Rate Increase'!O42</f>
        <v>0.3500000000000007</v>
      </c>
      <c r="M40" s="109"/>
      <c r="N40" s="109"/>
    </row>
    <row r="41" spans="3:14" x14ac:dyDescent="0.25">
      <c r="E41" s="106">
        <f t="shared" ref="E41:E52" si="1">E40+1</f>
        <v>3</v>
      </c>
      <c r="F41" s="109">
        <f ca="1">'Update Assumptions'!N43</f>
        <v>147760.57119126758</v>
      </c>
      <c r="G41" s="109">
        <f ca="1">'Assume Rate Increase'!N43</f>
        <v>147760.57119126758</v>
      </c>
      <c r="H41" s="109">
        <f ca="1">'Actual Rate Increase'!N43</f>
        <v>147760.57119126758</v>
      </c>
      <c r="I41" s="110">
        <f ca="1">'Update Assumptions'!O43</f>
        <v>0.34999999999999898</v>
      </c>
      <c r="J41" s="110">
        <f ca="1">'Assume Rate Increase'!O43</f>
        <v>0.34999999999999898</v>
      </c>
      <c r="K41" s="110">
        <f ca="1">'Actual Rate Increase'!O43</f>
        <v>0.34999999999999898</v>
      </c>
      <c r="M41" s="109"/>
      <c r="N41" s="109"/>
    </row>
    <row r="42" spans="3:14" x14ac:dyDescent="0.25">
      <c r="E42" s="106">
        <f t="shared" si="1"/>
        <v>4</v>
      </c>
      <c r="F42" s="109">
        <f ca="1">'Update Assumptions'!N44</f>
        <v>125565.73191976169</v>
      </c>
      <c r="G42" s="109">
        <f ca="1">'Assume Rate Increase'!N44</f>
        <v>125565.73191976169</v>
      </c>
      <c r="H42" s="109">
        <f ca="1">'Actual Rate Increase'!N44</f>
        <v>125565.73191976169</v>
      </c>
      <c r="I42" s="110">
        <f ca="1">'Update Assumptions'!O44</f>
        <v>0.31308121480155099</v>
      </c>
      <c r="J42" s="110">
        <f ca="1">'Assume Rate Increase'!O44</f>
        <v>0.31308121480155099</v>
      </c>
      <c r="K42" s="110">
        <f ca="1">'Actual Rate Increase'!O44</f>
        <v>0.31308121480155099</v>
      </c>
      <c r="M42" s="109"/>
      <c r="N42" s="109"/>
    </row>
    <row r="43" spans="3:14" x14ac:dyDescent="0.25">
      <c r="E43" s="106">
        <f t="shared" si="1"/>
        <v>5</v>
      </c>
      <c r="F43" s="109">
        <f ca="1">'Update Assumptions'!N45</f>
        <v>-120524.32764550915</v>
      </c>
      <c r="G43" s="109">
        <f ca="1">'Assume Rate Increase'!N45</f>
        <v>-120524.32764550915</v>
      </c>
      <c r="H43" s="109">
        <f ca="1">'Actual Rate Increase'!N45</f>
        <v>-120524.32764550915</v>
      </c>
      <c r="I43" s="110">
        <f ca="1">'Update Assumptions'!O45</f>
        <v>-0.31632752977463524</v>
      </c>
      <c r="J43" s="110">
        <f ca="1">'Assume Rate Increase'!O45</f>
        <v>-0.31632752977463524</v>
      </c>
      <c r="K43" s="110">
        <f ca="1">'Actual Rate Increase'!O45</f>
        <v>-0.31632752977463524</v>
      </c>
      <c r="M43" s="109"/>
      <c r="N43" s="109"/>
    </row>
    <row r="44" spans="3:14" x14ac:dyDescent="0.25">
      <c r="E44" s="106">
        <f t="shared" si="1"/>
        <v>6</v>
      </c>
      <c r="F44" s="109">
        <f ca="1">'Update Assumptions'!N46</f>
        <v>83908.635018203815</v>
      </c>
      <c r="G44" s="109">
        <f ca="1">'Assume Rate Increase'!N46</f>
        <v>242374.06930798892</v>
      </c>
      <c r="H44" s="109">
        <f ca="1">'Actual Rate Increase'!N46</f>
        <v>242374.06930798892</v>
      </c>
      <c r="I44" s="110">
        <f ca="1">'Update Assumptions'!O46</f>
        <v>0.23181702256247547</v>
      </c>
      <c r="J44" s="110">
        <f ca="1">'Assume Rate Increase'!O46</f>
        <v>0.6696144572145587</v>
      </c>
      <c r="K44" s="110">
        <f ca="1">'Actual Rate Increase'!O46</f>
        <v>0.6696144572145587</v>
      </c>
      <c r="M44" s="109"/>
      <c r="N44" s="109"/>
    </row>
    <row r="45" spans="3:14" x14ac:dyDescent="0.25">
      <c r="E45" s="106">
        <f t="shared" si="1"/>
        <v>7</v>
      </c>
      <c r="F45" s="109">
        <f ca="1">'Update Assumptions'!N47</f>
        <v>79713.203267291246</v>
      </c>
      <c r="G45" s="109">
        <f ca="1">'Assume Rate Increase'!N47</f>
        <v>109724.80727310485</v>
      </c>
      <c r="H45" s="109">
        <f ca="1">'Actual Rate Increase'!N47</f>
        <v>81748.466967155749</v>
      </c>
      <c r="I45" s="110">
        <f ca="1">'Update Assumptions'!O47</f>
        <v>0.23181702256246858</v>
      </c>
      <c r="J45" s="110">
        <f ca="1">'Assume Rate Increase'!O47</f>
        <v>0.29008628981165457</v>
      </c>
      <c r="K45" s="110">
        <f ca="1">'Actual Rate Increase'!O47</f>
        <v>0.20672682692038022</v>
      </c>
      <c r="M45" s="109"/>
      <c r="N45" s="109"/>
    </row>
    <row r="46" spans="3:14" x14ac:dyDescent="0.25">
      <c r="E46" s="106">
        <f t="shared" si="1"/>
        <v>8</v>
      </c>
      <c r="F46" s="109">
        <f ca="1">'Update Assumptions'!N48</f>
        <v>75727.54310392862</v>
      </c>
      <c r="G46" s="109">
        <f ca="1">'Assume Rate Increase'!N48</f>
        <v>113714.80026485503</v>
      </c>
      <c r="H46" s="109">
        <f ca="1">'Actual Rate Increase'!N48</f>
        <v>105119.08530047291</v>
      </c>
      <c r="I46" s="110">
        <f ca="1">'Update Assumptions'!O48</f>
        <v>0.2318170225624745</v>
      </c>
      <c r="J46" s="110">
        <f ca="1">'Assume Rate Increase'!O48</f>
        <v>0.29008628981165696</v>
      </c>
      <c r="K46" s="110">
        <f ca="1">'Actual Rate Increase'!O48</f>
        <v>0.27981770448008175</v>
      </c>
      <c r="M46" s="109"/>
      <c r="N46" s="109"/>
    </row>
    <row r="47" spans="3:14" x14ac:dyDescent="0.25">
      <c r="E47" s="106">
        <f t="shared" si="1"/>
        <v>9</v>
      </c>
      <c r="F47" s="109">
        <f ca="1">'Update Assumptions'!N49</f>
        <v>71941.165948731184</v>
      </c>
      <c r="G47" s="109">
        <f ca="1">'Assume Rate Increase'!N49</f>
        <v>108029.06025161169</v>
      </c>
      <c r="H47" s="109">
        <f ca="1">'Actual Rate Increase'!N49</f>
        <v>99863.131035447877</v>
      </c>
      <c r="I47" s="110">
        <f ca="1">'Update Assumptions'!O49</f>
        <v>0.23181702256247128</v>
      </c>
      <c r="J47" s="110">
        <f ca="1">'Assume Rate Increase'!O49</f>
        <v>0.29008628981165541</v>
      </c>
      <c r="K47" s="110">
        <f ca="1">'Actual Rate Increase'!O49</f>
        <v>0.27981770448007781</v>
      </c>
      <c r="M47" s="109"/>
      <c r="N47" s="109"/>
    </row>
    <row r="48" spans="3:14" x14ac:dyDescent="0.25">
      <c r="E48" s="106">
        <f t="shared" si="1"/>
        <v>10</v>
      </c>
      <c r="F48" s="109">
        <f ca="1">'Update Assumptions'!N50</f>
        <v>68344.107651295082</v>
      </c>
      <c r="G48" s="109">
        <f ca="1">'Assume Rate Increase'!N50</f>
        <v>102627.60723903164</v>
      </c>
      <c r="H48" s="109">
        <f ca="1">'Actual Rate Increase'!N50</f>
        <v>94869.974483676429</v>
      </c>
      <c r="I48" s="110">
        <f ca="1">'Update Assumptions'!O50</f>
        <v>0.2318170225624728</v>
      </c>
      <c r="J48" s="110">
        <f ca="1">'Assume Rate Increase'!O50</f>
        <v>0.29008628981165691</v>
      </c>
      <c r="K48" s="110">
        <f ca="1">'Actual Rate Increase'!O50</f>
        <v>0.27981770448008064</v>
      </c>
      <c r="M48" s="109"/>
      <c r="N48" s="109"/>
    </row>
    <row r="49" spans="5:14" x14ac:dyDescent="0.25">
      <c r="E49" s="106">
        <f t="shared" si="1"/>
        <v>11</v>
      </c>
      <c r="F49" s="109">
        <f ca="1">'Update Assumptions'!N51</f>
        <v>64926.90226873057</v>
      </c>
      <c r="G49" s="109">
        <f ca="1">'Assume Rate Increase'!N51</f>
        <v>97496.226877080451</v>
      </c>
      <c r="H49" s="109">
        <f ca="1">'Actual Rate Increase'!N51</f>
        <v>90126.475759492954</v>
      </c>
      <c r="I49" s="110">
        <f ca="1">'Update Assumptions'!O51</f>
        <v>0.23181702256247366</v>
      </c>
      <c r="J49" s="110">
        <f ca="1">'Assume Rate Increase'!O51</f>
        <v>0.29008628981165807</v>
      </c>
      <c r="K49" s="110">
        <f ca="1">'Actual Rate Increase'!O51</f>
        <v>0.2798177044800817</v>
      </c>
      <c r="M49" s="109"/>
      <c r="N49" s="109"/>
    </row>
    <row r="50" spans="5:14" x14ac:dyDescent="0.25">
      <c r="E50" s="106">
        <f t="shared" si="1"/>
        <v>12</v>
      </c>
      <c r="F50" s="109">
        <f ca="1">'Update Assumptions'!N52</f>
        <v>61680.557155293354</v>
      </c>
      <c r="G50" s="109">
        <f ca="1">'Assume Rate Increase'!N52</f>
        <v>92621.415533225576</v>
      </c>
      <c r="H50" s="109">
        <f ca="1">'Actual Rate Increase'!N52</f>
        <v>85620.15197151748</v>
      </c>
      <c r="I50" s="110">
        <f ca="1">'Update Assumptions'!O52</f>
        <v>0.23181702256247111</v>
      </c>
      <c r="J50" s="110">
        <f ca="1">'Assume Rate Increase'!O52</f>
        <v>0.29008628981165546</v>
      </c>
      <c r="K50" s="110">
        <f ca="1">'Actual Rate Increase'!O52</f>
        <v>0.27981770448007898</v>
      </c>
      <c r="M50" s="109"/>
      <c r="N50" s="109"/>
    </row>
    <row r="51" spans="5:14" x14ac:dyDescent="0.25">
      <c r="E51" s="106">
        <f t="shared" si="1"/>
        <v>13</v>
      </c>
      <c r="F51" s="109">
        <f ca="1">'Update Assumptions'!N53</f>
        <v>58596.529297529138</v>
      </c>
      <c r="G51" s="109">
        <f ca="1">'Assume Rate Increase'!N53</f>
        <v>87990.344756564824</v>
      </c>
      <c r="H51" s="109">
        <f ca="1">'Actual Rate Increase'!N53</f>
        <v>81339.144372942043</v>
      </c>
      <c r="I51" s="110">
        <f ca="1">'Update Assumptions'!O53</f>
        <v>0.23181702256247289</v>
      </c>
      <c r="J51" s="110">
        <f ca="1">'Assume Rate Increase'!O53</f>
        <v>0.29008628981165713</v>
      </c>
      <c r="K51" s="110">
        <f ca="1">'Actual Rate Increase'!O53</f>
        <v>0.27981770448008053</v>
      </c>
      <c r="M51" s="109"/>
      <c r="N51" s="109"/>
    </row>
    <row r="52" spans="5:14" x14ac:dyDescent="0.25">
      <c r="E52" s="106">
        <f t="shared" si="1"/>
        <v>14</v>
      </c>
      <c r="F52" s="109">
        <f ca="1">'Update Assumptions'!N54</f>
        <v>55666.702832652605</v>
      </c>
      <c r="G52" s="109">
        <f ca="1">'Assume Rate Increase'!N54</f>
        <v>83590.82751873642</v>
      </c>
      <c r="H52" s="109">
        <f ca="1">'Actual Rate Increase'!N54</f>
        <v>77272.187154294748</v>
      </c>
      <c r="I52" s="110">
        <f ca="1">'Update Assumptions'!O54</f>
        <v>0.23181702256247261</v>
      </c>
      <c r="J52" s="110">
        <f ca="1">'Assume Rate Increase'!O54</f>
        <v>0.29008628981165657</v>
      </c>
      <c r="K52" s="110">
        <f ca="1">'Actual Rate Increase'!O54</f>
        <v>0.27981770448007981</v>
      </c>
      <c r="M52" s="109"/>
      <c r="N52" s="109"/>
    </row>
  </sheetData>
  <mergeCells count="5">
    <mergeCell ref="F12:H12"/>
    <mergeCell ref="I12:K12"/>
    <mergeCell ref="L12:N12"/>
    <mergeCell ref="F37:H37"/>
    <mergeCell ref="I37:K37"/>
  </mergeCells>
  <pageMargins left="0.75" right="0.75" top="1" bottom="1" header="0.5" footer="0.5"/>
  <pageSetup orientation="portrait" horizontalDpi="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25</vt:i4>
      </vt:variant>
    </vt:vector>
  </HeadingPairs>
  <TitlesOfParts>
    <vt:vector size="33" baseType="lpstr">
      <vt:lpstr>Disclaimer</vt:lpstr>
      <vt:lpstr>Base Case</vt:lpstr>
      <vt:lpstr>Claims Shock</vt:lpstr>
      <vt:lpstr>Update Assumptions</vt:lpstr>
      <vt:lpstr>Assume Rate Increase</vt:lpstr>
      <vt:lpstr>Actual Rate Increase</vt:lpstr>
      <vt:lpstr>Charts_DLR</vt:lpstr>
      <vt:lpstr>Charts_RI</vt:lpstr>
      <vt:lpstr>'Actual Rate Increase'!ClaimTerm</vt:lpstr>
      <vt:lpstr>'Assume Rate Increase'!ClaimTerm</vt:lpstr>
      <vt:lpstr>'Claims Shock'!ClaimTerm</vt:lpstr>
      <vt:lpstr>'Update Assumptions'!ClaimTerm</vt:lpstr>
      <vt:lpstr>ClaimTerm</vt:lpstr>
      <vt:lpstr>'Actual Rate Increase'!DiscountRate</vt:lpstr>
      <vt:lpstr>'Assume Rate Increase'!DiscountRate</vt:lpstr>
      <vt:lpstr>'Claims Shock'!DiscountRate</vt:lpstr>
      <vt:lpstr>'Update Assumptions'!DiscountRate</vt:lpstr>
      <vt:lpstr>DiscountRate</vt:lpstr>
      <vt:lpstr>'Actual Rate Increase'!NetPremiumRatio</vt:lpstr>
      <vt:lpstr>'Assume Rate Increase'!NetPremiumRatio</vt:lpstr>
      <vt:lpstr>'Claims Shock'!NetPremiumRatio</vt:lpstr>
      <vt:lpstr>'Update Assumptions'!NetPremiumRatio</vt:lpstr>
      <vt:lpstr>NetPremiumRatio</vt:lpstr>
      <vt:lpstr>'Actual Rate Increase'!PolicyTerm</vt:lpstr>
      <vt:lpstr>'Assume Rate Increase'!PolicyTerm</vt:lpstr>
      <vt:lpstr>'Claims Shock'!PolicyTerm</vt:lpstr>
      <vt:lpstr>'Update Assumptions'!PolicyTerm</vt:lpstr>
      <vt:lpstr>PolicyTerm</vt:lpstr>
      <vt:lpstr>'Actual Rate Increase'!PricingLR</vt:lpstr>
      <vt:lpstr>'Assume Rate Increase'!PricingLR</vt:lpstr>
      <vt:lpstr>'Claims Shock'!PricingLR</vt:lpstr>
      <vt:lpstr>'Update Assumptions'!PricingLR</vt:lpstr>
      <vt:lpstr>PricingLR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2024-11-18T20:47:27Z</dcterms:created>
  <dcterms:modified xsi:type="dcterms:W3CDTF">2024-11-18T20:47:32Z</dcterms:modified>
</cp:coreProperties>
</file>