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4" documentId="13_ncr:1_{CA44061C-5D35-402E-B00D-1F9C5E205BFF}" xr6:coauthVersionLast="47" xr6:coauthVersionMax="47" xr10:uidLastSave="{87BD4D1B-D14D-4890-BD4D-E1EEB99773D6}"/>
  <bookViews>
    <workbookView xWindow="-120" yWindow="-120" windowWidth="29040" windowHeight="15720" tabRatio="850" xr2:uid="{00000000-000D-0000-FFFF-FFFF00000000}"/>
  </bookViews>
  <sheets>
    <sheet name="Disclaimer" sheetId="15" r:id="rId1"/>
    <sheet name="Input" sheetId="1" r:id="rId2"/>
    <sheet name="Actuarial balances" sheetId="10" r:id="rId3"/>
    <sheet name="   Break   " sheetId="13" r:id="rId4"/>
    <sheet name="Input - Assumptions pre-LDTI " sheetId="11" r:id="rId5"/>
    <sheet name="Actuarial balances pre-LDTI" sheetId="12" r:id="rId6"/>
    <sheet name="Modified Retro Transition" sheetId="1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11" l="1"/>
  <c r="B13" i="11"/>
  <c r="N22" i="11"/>
  <c r="N23" i="11"/>
  <c r="N24" i="11"/>
  <c r="N25" i="11"/>
  <c r="N26" i="11"/>
  <c r="N27" i="11"/>
  <c r="N28" i="11"/>
  <c r="N29" i="11"/>
  <c r="N30" i="11"/>
  <c r="N21" i="11"/>
  <c r="K22" i="11"/>
  <c r="K23" i="11"/>
  <c r="K24" i="11"/>
  <c r="K25" i="11"/>
  <c r="K26" i="11"/>
  <c r="K27" i="11"/>
  <c r="K28" i="11"/>
  <c r="K29" i="11"/>
  <c r="K30" i="11"/>
  <c r="K21" i="11"/>
  <c r="J22" i="11"/>
  <c r="J23" i="11"/>
  <c r="J24" i="11"/>
  <c r="J25" i="11"/>
  <c r="J26" i="11"/>
  <c r="J27" i="11"/>
  <c r="J28" i="11"/>
  <c r="J29" i="11"/>
  <c r="J30" i="11"/>
  <c r="J21" i="11"/>
  <c r="I22" i="11"/>
  <c r="I23" i="11"/>
  <c r="I24" i="11"/>
  <c r="I25" i="11"/>
  <c r="I26" i="11"/>
  <c r="I27" i="11"/>
  <c r="I28" i="11"/>
  <c r="I29" i="11"/>
  <c r="I30" i="11"/>
  <c r="I21" i="11"/>
  <c r="H22" i="11"/>
  <c r="H23" i="11"/>
  <c r="H24" i="11"/>
  <c r="H25" i="11"/>
  <c r="H26" i="11"/>
  <c r="H27" i="11"/>
  <c r="H28" i="11"/>
  <c r="H29" i="11"/>
  <c r="H30" i="11"/>
  <c r="H21" i="11"/>
  <c r="G22" i="11"/>
  <c r="G23" i="11"/>
  <c r="G24" i="11"/>
  <c r="G25" i="11"/>
  <c r="G26" i="11"/>
  <c r="G27" i="11"/>
  <c r="G28" i="11"/>
  <c r="G29" i="11"/>
  <c r="G30" i="11"/>
  <c r="G21" i="11"/>
  <c r="E22" i="11"/>
  <c r="E23" i="11"/>
  <c r="E24" i="11"/>
  <c r="E25" i="11"/>
  <c r="E26" i="11"/>
  <c r="E27" i="11"/>
  <c r="E28" i="11"/>
  <c r="E29" i="11"/>
  <c r="E30" i="11"/>
  <c r="E21" i="11"/>
  <c r="C22" i="11"/>
  <c r="C23" i="11"/>
  <c r="C24" i="11"/>
  <c r="C25" i="11"/>
  <c r="C26" i="11"/>
  <c r="C27" i="11"/>
  <c r="C28" i="11"/>
  <c r="C29" i="11"/>
  <c r="C30" i="11"/>
  <c r="C21" i="11"/>
  <c r="B22" i="11"/>
  <c r="B23" i="11"/>
  <c r="B24" i="11"/>
  <c r="B25" i="11"/>
  <c r="B26" i="11"/>
  <c r="B27" i="11"/>
  <c r="B28" i="11"/>
  <c r="B29" i="11"/>
  <c r="B30" i="11"/>
  <c r="B21" i="11"/>
  <c r="B290" i="12"/>
  <c r="L149" i="10"/>
  <c r="U168" i="10"/>
  <c r="O169" i="10"/>
  <c r="Q169" i="10" s="1"/>
  <c r="U169" i="10"/>
  <c r="O170" i="10"/>
  <c r="Q170" i="10" s="1"/>
  <c r="U170" i="10"/>
  <c r="O171" i="10"/>
  <c r="Q171" i="10" s="1"/>
  <c r="U171" i="10"/>
  <c r="O172" i="10"/>
  <c r="Q172" i="10" s="1"/>
  <c r="O173" i="10"/>
  <c r="Q173" i="10" s="1"/>
  <c r="O174" i="10"/>
  <c r="Q174" i="10" s="1"/>
  <c r="O175" i="10"/>
  <c r="Q175" i="10" s="1"/>
  <c r="O176" i="10"/>
  <c r="Q176" i="10" s="1"/>
  <c r="O177" i="10"/>
  <c r="Q177" i="10" s="1"/>
  <c r="R186" i="10"/>
  <c r="R187" i="10"/>
  <c r="R188" i="10"/>
  <c r="R189" i="10"/>
  <c r="L243" i="10"/>
  <c r="U262" i="10"/>
  <c r="O263" i="10"/>
  <c r="Q263" i="10" s="1"/>
  <c r="U263" i="10"/>
  <c r="O264" i="10"/>
  <c r="Q264" i="10" s="1"/>
  <c r="U264" i="10"/>
  <c r="O265" i="10"/>
  <c r="Q265" i="10" s="1"/>
  <c r="U265" i="10"/>
  <c r="O266" i="10"/>
  <c r="Q266" i="10" s="1"/>
  <c r="O267" i="10"/>
  <c r="Q267" i="10" s="1"/>
  <c r="O268" i="10"/>
  <c r="Q268" i="10" s="1"/>
  <c r="O269" i="10"/>
  <c r="Q269" i="10" s="1"/>
  <c r="O270" i="10"/>
  <c r="Q270" i="10" s="1"/>
  <c r="O271" i="10"/>
  <c r="Q271" i="10" s="1"/>
  <c r="R280" i="10"/>
  <c r="R281" i="10"/>
  <c r="R282" i="10"/>
  <c r="R283" i="10"/>
  <c r="B196" i="12" l="1"/>
  <c r="B110" i="12"/>
  <c r="B272" i="12"/>
  <c r="B178" i="12"/>
  <c r="B72" i="12"/>
  <c r="C100" i="14" l="1"/>
  <c r="C101" i="14"/>
  <c r="C102" i="14"/>
  <c r="C99" i="14"/>
  <c r="C116" i="14"/>
  <c r="B116" i="14"/>
  <c r="G93" i="12"/>
  <c r="G94" i="12"/>
  <c r="G95" i="12"/>
  <c r="G96" i="12"/>
  <c r="G97" i="12"/>
  <c r="G98" i="12"/>
  <c r="G99" i="12"/>
  <c r="G100" i="12"/>
  <c r="G101" i="12"/>
  <c r="F92" i="12"/>
  <c r="M22" i="11"/>
  <c r="M23" i="11"/>
  <c r="M24" i="11"/>
  <c r="M25" i="11"/>
  <c r="M26" i="11"/>
  <c r="M27" i="11"/>
  <c r="M28" i="11"/>
  <c r="M29" i="11"/>
  <c r="M21" i="11"/>
  <c r="L22" i="11"/>
  <c r="L23" i="11"/>
  <c r="L24" i="11"/>
  <c r="L25" i="11"/>
  <c r="L26" i="11"/>
  <c r="L27" i="11"/>
  <c r="L28" i="11"/>
  <c r="L29" i="11"/>
  <c r="L30" i="11"/>
  <c r="L21" i="11"/>
  <c r="D22" i="11"/>
  <c r="D23" i="11"/>
  <c r="D24" i="11"/>
  <c r="D25" i="11"/>
  <c r="D26" i="11"/>
  <c r="D27" i="11"/>
  <c r="D28" i="11"/>
  <c r="D29" i="11"/>
  <c r="D30" i="11"/>
  <c r="D21" i="11"/>
  <c r="D15" i="12"/>
  <c r="C92" i="12" s="1"/>
  <c r="F21" i="11"/>
  <c r="B40" i="12" l="1"/>
  <c r="B39" i="14" s="1"/>
  <c r="J64" i="14" s="1"/>
  <c r="B39" i="12"/>
  <c r="B36" i="12"/>
  <c r="B38" i="12"/>
  <c r="B35" i="12"/>
  <c r="B43" i="12"/>
  <c r="B42" i="14" s="1"/>
  <c r="B41" i="12"/>
  <c r="B40" i="14" s="1"/>
  <c r="B42" i="12"/>
  <c r="B41" i="14" s="1"/>
  <c r="B34" i="12"/>
  <c r="C35" i="12" s="1"/>
  <c r="B37" i="12"/>
  <c r="H15" i="12"/>
  <c r="C72" i="12" s="1"/>
  <c r="B16" i="12"/>
  <c r="I34" i="12" s="1"/>
  <c r="F56" i="12" s="1"/>
  <c r="G34" i="12"/>
  <c r="K26" i="10"/>
  <c r="L54" i="10"/>
  <c r="I64" i="14" l="1"/>
  <c r="C40" i="14"/>
  <c r="D39" i="14" s="1"/>
  <c r="D40" i="14" s="1"/>
  <c r="D41" i="14" s="1"/>
  <c r="D42" i="14" s="1"/>
  <c r="K64" i="14"/>
  <c r="C110" i="12"/>
  <c r="E34" i="12"/>
  <c r="B92" i="12" s="1"/>
  <c r="D92" i="12" s="1"/>
  <c r="H34" i="12"/>
  <c r="C56" i="12"/>
  <c r="C16" i="12"/>
  <c r="G16" i="12" s="1"/>
  <c r="L34" i="12" s="1"/>
  <c r="C36" i="12"/>
  <c r="D34" i="12"/>
  <c r="D35" i="12" s="1"/>
  <c r="D36" i="12" s="1"/>
  <c r="D37" i="12" s="1"/>
  <c r="D38" i="12" s="1"/>
  <c r="D39" i="12" s="1"/>
  <c r="D40" i="12" s="1"/>
  <c r="D41" i="12" s="1"/>
  <c r="D42" i="12" s="1"/>
  <c r="D43" i="12" s="1"/>
  <c r="F16" i="12"/>
  <c r="L64" i="14" l="1"/>
  <c r="C41" i="14"/>
  <c r="C42" i="14" s="1"/>
  <c r="G92" i="12"/>
  <c r="F34" i="12"/>
  <c r="D16" i="12"/>
  <c r="B17" i="12" s="1"/>
  <c r="J34" i="12"/>
  <c r="K34" i="12"/>
  <c r="M34" i="12" s="1"/>
  <c r="E56" i="12" s="1"/>
  <c r="H16" i="12"/>
  <c r="C73" i="12" s="1"/>
  <c r="C111" i="12" s="1"/>
  <c r="C37" i="12"/>
  <c r="B19" i="1"/>
  <c r="B20" i="1" s="1"/>
  <c r="B21" i="1" s="1"/>
  <c r="B22" i="1" s="1"/>
  <c r="B23" i="1" s="1"/>
  <c r="B24" i="1" s="1"/>
  <c r="B25" i="1" s="1"/>
  <c r="B26" i="1" s="1"/>
  <c r="B27" i="1" s="1"/>
  <c r="F18" i="1"/>
  <c r="G35" i="12" l="1"/>
  <c r="H35" i="12" s="1"/>
  <c r="N34" i="12"/>
  <c r="I35" i="12"/>
  <c r="F57" i="12" s="1"/>
  <c r="F17" i="12"/>
  <c r="K35" i="12" s="1"/>
  <c r="C38" i="12"/>
  <c r="E35" i="12"/>
  <c r="C17" i="12"/>
  <c r="G17" i="12" s="1"/>
  <c r="L35" i="12" s="1"/>
  <c r="D203" i="10"/>
  <c r="L43" i="1"/>
  <c r="L64" i="1" s="1"/>
  <c r="D68" i="1"/>
  <c r="N40" i="1"/>
  <c r="N61" i="1" s="1"/>
  <c r="N41" i="1"/>
  <c r="N62" i="1" s="1"/>
  <c r="N42" i="1"/>
  <c r="N63" i="1" s="1"/>
  <c r="N43" i="1"/>
  <c r="N64" i="1" s="1"/>
  <c r="N44" i="1"/>
  <c r="N65" i="1" s="1"/>
  <c r="N45" i="1"/>
  <c r="N66" i="1" s="1"/>
  <c r="N46" i="1"/>
  <c r="N67" i="1" s="1"/>
  <c r="N47" i="1"/>
  <c r="N68" i="1" s="1"/>
  <c r="N48" i="1"/>
  <c r="N69" i="1" s="1"/>
  <c r="N39" i="1"/>
  <c r="N60" i="1" s="1"/>
  <c r="M40" i="1"/>
  <c r="M61" i="1" s="1"/>
  <c r="M41" i="1"/>
  <c r="M62" i="1" s="1"/>
  <c r="M42" i="1"/>
  <c r="M63" i="1" s="1"/>
  <c r="M43" i="1"/>
  <c r="M64" i="1" s="1"/>
  <c r="M44" i="1"/>
  <c r="M65" i="1" s="1"/>
  <c r="M45" i="1"/>
  <c r="M66" i="1" s="1"/>
  <c r="M46" i="1"/>
  <c r="M67" i="1" s="1"/>
  <c r="M47" i="1"/>
  <c r="M68" i="1" s="1"/>
  <c r="M48" i="1"/>
  <c r="M69" i="1" s="1"/>
  <c r="M39" i="1"/>
  <c r="M60" i="1" s="1"/>
  <c r="L40" i="1"/>
  <c r="L61" i="1" s="1"/>
  <c r="L41" i="1"/>
  <c r="L62" i="1" s="1"/>
  <c r="L42" i="1"/>
  <c r="L63" i="1" s="1"/>
  <c r="L44" i="1"/>
  <c r="L65" i="1" s="1"/>
  <c r="L45" i="1"/>
  <c r="L66" i="1" s="1"/>
  <c r="L46" i="1"/>
  <c r="L67" i="1" s="1"/>
  <c r="L47" i="1"/>
  <c r="L68" i="1" s="1"/>
  <c r="L48" i="1"/>
  <c r="L69" i="1" s="1"/>
  <c r="L39" i="1"/>
  <c r="L60" i="1" s="1"/>
  <c r="K40" i="1"/>
  <c r="K61" i="1" s="1"/>
  <c r="K41" i="1"/>
  <c r="K62" i="1" s="1"/>
  <c r="K42" i="1"/>
  <c r="K63" i="1" s="1"/>
  <c r="K43" i="1"/>
  <c r="K64" i="1" s="1"/>
  <c r="K44" i="1"/>
  <c r="K65" i="1" s="1"/>
  <c r="K45" i="1"/>
  <c r="K66" i="1" s="1"/>
  <c r="K46" i="1"/>
  <c r="K67" i="1" s="1"/>
  <c r="K47" i="1"/>
  <c r="K68" i="1" s="1"/>
  <c r="K48" i="1"/>
  <c r="K69" i="1" s="1"/>
  <c r="K39" i="1"/>
  <c r="K60" i="1" s="1"/>
  <c r="I39" i="1"/>
  <c r="I60" i="1" s="1"/>
  <c r="G40" i="1"/>
  <c r="G61" i="1" s="1"/>
  <c r="H40" i="1"/>
  <c r="H61" i="1" s="1"/>
  <c r="G41" i="1"/>
  <c r="G62" i="1" s="1"/>
  <c r="H41" i="1"/>
  <c r="H62" i="1" s="1"/>
  <c r="G42" i="1"/>
  <c r="G63" i="1" s="1"/>
  <c r="H42" i="1"/>
  <c r="H63" i="1" s="1"/>
  <c r="G43" i="1"/>
  <c r="G64" i="1" s="1"/>
  <c r="H43" i="1"/>
  <c r="H64" i="1" s="1"/>
  <c r="G44" i="1"/>
  <c r="G65" i="1" s="1"/>
  <c r="H44" i="1"/>
  <c r="H65" i="1" s="1"/>
  <c r="G45" i="1"/>
  <c r="G66" i="1" s="1"/>
  <c r="H45" i="1"/>
  <c r="H66" i="1" s="1"/>
  <c r="G46" i="1"/>
  <c r="G67" i="1" s="1"/>
  <c r="H46" i="1"/>
  <c r="H67" i="1" s="1"/>
  <c r="G47" i="1"/>
  <c r="G68" i="1" s="1"/>
  <c r="H47" i="1"/>
  <c r="H68" i="1" s="1"/>
  <c r="G48" i="1"/>
  <c r="G69" i="1" s="1"/>
  <c r="H48" i="1"/>
  <c r="H69" i="1" s="1"/>
  <c r="H39" i="1"/>
  <c r="H60" i="1" s="1"/>
  <c r="G39" i="1"/>
  <c r="G60" i="1" s="1"/>
  <c r="D39" i="1"/>
  <c r="E39" i="1"/>
  <c r="E60" i="1" s="1"/>
  <c r="F39" i="1"/>
  <c r="F60" i="1" s="1"/>
  <c r="D40" i="1"/>
  <c r="B129" i="10" s="1"/>
  <c r="E40" i="1"/>
  <c r="E61" i="1" s="1"/>
  <c r="F40" i="1"/>
  <c r="F61" i="1" s="1"/>
  <c r="D41" i="1"/>
  <c r="B130" i="10" s="1"/>
  <c r="E41" i="1"/>
  <c r="E62" i="1" s="1"/>
  <c r="F41" i="1"/>
  <c r="F62" i="1" s="1"/>
  <c r="D42" i="1"/>
  <c r="B131" i="10" s="1"/>
  <c r="E42" i="1"/>
  <c r="E63" i="1" s="1"/>
  <c r="F42" i="1"/>
  <c r="F63" i="1" s="1"/>
  <c r="D43" i="1"/>
  <c r="E43" i="1"/>
  <c r="E64" i="1" s="1"/>
  <c r="F43" i="1"/>
  <c r="F64" i="1" s="1"/>
  <c r="D44" i="1"/>
  <c r="B133" i="10" s="1"/>
  <c r="E44" i="1"/>
  <c r="E65" i="1" s="1"/>
  <c r="F44" i="1"/>
  <c r="F65" i="1" s="1"/>
  <c r="D45" i="1"/>
  <c r="B134" i="10" s="1"/>
  <c r="E45" i="1"/>
  <c r="E66" i="1" s="1"/>
  <c r="F45" i="1"/>
  <c r="F66" i="1" s="1"/>
  <c r="D46" i="1"/>
  <c r="B135" i="10" s="1"/>
  <c r="E46" i="1"/>
  <c r="E67" i="1" s="1"/>
  <c r="F46" i="1"/>
  <c r="F67" i="1" s="1"/>
  <c r="D47" i="1"/>
  <c r="B136" i="10" s="1"/>
  <c r="E47" i="1"/>
  <c r="E68" i="1" s="1"/>
  <c r="F47" i="1"/>
  <c r="F68" i="1" s="1"/>
  <c r="D48" i="1"/>
  <c r="B137" i="10" s="1"/>
  <c r="E48" i="1"/>
  <c r="E69" i="1" s="1"/>
  <c r="F48" i="1"/>
  <c r="F69" i="1" s="1"/>
  <c r="C40" i="1"/>
  <c r="C61" i="1" s="1"/>
  <c r="C41" i="1"/>
  <c r="C62" i="1" s="1"/>
  <c r="C42" i="1"/>
  <c r="C63" i="1" s="1"/>
  <c r="C43" i="1"/>
  <c r="C64" i="1" s="1"/>
  <c r="C44" i="1"/>
  <c r="C65" i="1" s="1"/>
  <c r="C45" i="1"/>
  <c r="C66" i="1" s="1"/>
  <c r="C46" i="1"/>
  <c r="C67" i="1" s="1"/>
  <c r="C47" i="1"/>
  <c r="C68" i="1" s="1"/>
  <c r="C48" i="1"/>
  <c r="C69" i="1" s="1"/>
  <c r="C39" i="1"/>
  <c r="C60" i="1" s="1"/>
  <c r="B40" i="1"/>
  <c r="B61" i="1" s="1"/>
  <c r="B41" i="1"/>
  <c r="B62" i="1" s="1"/>
  <c r="B42" i="1"/>
  <c r="B63" i="1" s="1"/>
  <c r="B43" i="1"/>
  <c r="B64" i="1" s="1"/>
  <c r="B44" i="1"/>
  <c r="B65" i="1" s="1"/>
  <c r="B45" i="1"/>
  <c r="B66" i="1" s="1"/>
  <c r="B46" i="1"/>
  <c r="B67" i="1" s="1"/>
  <c r="B47" i="1"/>
  <c r="B68" i="1" s="1"/>
  <c r="B48" i="1"/>
  <c r="B69" i="1" s="1"/>
  <c r="B39" i="1"/>
  <c r="B60" i="1" s="1"/>
  <c r="B32" i="1"/>
  <c r="B31" i="1"/>
  <c r="D109" i="10" s="1"/>
  <c r="C57" i="12" l="1"/>
  <c r="D64" i="1"/>
  <c r="B226" i="10" s="1"/>
  <c r="B132" i="10"/>
  <c r="H81" i="14"/>
  <c r="B230" i="10"/>
  <c r="D60" i="1"/>
  <c r="B222" i="10" s="1"/>
  <c r="C223" i="10" s="1"/>
  <c r="B128" i="10"/>
  <c r="C129" i="10" s="1"/>
  <c r="D128" i="12"/>
  <c r="C168" i="10"/>
  <c r="P168" i="10" s="1"/>
  <c r="G128" i="10"/>
  <c r="H128" i="10" s="1"/>
  <c r="G222" i="10"/>
  <c r="H222" i="10" s="1"/>
  <c r="C262" i="10"/>
  <c r="P262" i="10" s="1"/>
  <c r="D69" i="1"/>
  <c r="D62" i="1"/>
  <c r="B224" i="10" s="1"/>
  <c r="B204" i="10"/>
  <c r="D222" i="12"/>
  <c r="D66" i="1"/>
  <c r="B228" i="10" s="1"/>
  <c r="D67" i="1"/>
  <c r="B229" i="10" s="1"/>
  <c r="D61" i="1"/>
  <c r="B223" i="10" s="1"/>
  <c r="D65" i="1"/>
  <c r="B227" i="10" s="1"/>
  <c r="D63" i="1"/>
  <c r="B225" i="10" s="1"/>
  <c r="D17" i="12"/>
  <c r="G36" i="12" s="1"/>
  <c r="B93" i="12"/>
  <c r="F35" i="12"/>
  <c r="C39" i="12"/>
  <c r="H17" i="12"/>
  <c r="C74" i="12" s="1"/>
  <c r="C112" i="12" s="1"/>
  <c r="M35" i="12"/>
  <c r="E57" i="12" s="1"/>
  <c r="J35" i="12"/>
  <c r="H203" i="10"/>
  <c r="E222" i="10" s="1"/>
  <c r="B110" i="10"/>
  <c r="I128" i="10" s="1"/>
  <c r="H109" i="10"/>
  <c r="I19" i="1"/>
  <c r="H82" i="14" l="1"/>
  <c r="B231" i="10"/>
  <c r="D128" i="10"/>
  <c r="D129" i="10" s="1"/>
  <c r="D130" i="10" s="1"/>
  <c r="D131" i="10" s="1"/>
  <c r="D132" i="10" s="1"/>
  <c r="D133" i="10" s="1"/>
  <c r="D134" i="10" s="1"/>
  <c r="D135" i="10" s="1"/>
  <c r="C130" i="10"/>
  <c r="C131" i="10" s="1"/>
  <c r="C132" i="10" s="1"/>
  <c r="C133" i="10" s="1"/>
  <c r="C134" i="10" s="1"/>
  <c r="C135" i="10" s="1"/>
  <c r="C136" i="10" s="1"/>
  <c r="C137" i="10" s="1"/>
  <c r="C224" i="10"/>
  <c r="C225" i="10" s="1"/>
  <c r="C226" i="10" s="1"/>
  <c r="C227" i="10" s="1"/>
  <c r="C228" i="10" s="1"/>
  <c r="C229" i="10" s="1"/>
  <c r="C230" i="10" s="1"/>
  <c r="D222" i="10"/>
  <c r="D223" i="10" s="1"/>
  <c r="D224" i="10" s="1"/>
  <c r="D225" i="10" s="1"/>
  <c r="D226" i="10" s="1"/>
  <c r="D227" i="10" s="1"/>
  <c r="D228" i="10" s="1"/>
  <c r="H128" i="12"/>
  <c r="E128" i="10"/>
  <c r="E150" i="10"/>
  <c r="J128" i="10"/>
  <c r="D136" i="10"/>
  <c r="D229" i="10"/>
  <c r="C204" i="10"/>
  <c r="C223" i="12" s="1"/>
  <c r="I222" i="10"/>
  <c r="B262" i="10"/>
  <c r="F222" i="10"/>
  <c r="C231" i="10"/>
  <c r="F204" i="10"/>
  <c r="K222" i="10" s="1"/>
  <c r="B18" i="12"/>
  <c r="C18" i="12" s="1"/>
  <c r="G18" i="12" s="1"/>
  <c r="L36" i="12" s="1"/>
  <c r="H80" i="14"/>
  <c r="B223" i="12"/>
  <c r="C110" i="10"/>
  <c r="C129" i="12" s="1"/>
  <c r="B129" i="12"/>
  <c r="I20" i="1"/>
  <c r="I21" i="1" s="1"/>
  <c r="I40" i="1"/>
  <c r="I61" i="1" s="1"/>
  <c r="D168" i="12"/>
  <c r="D186" i="12" s="1"/>
  <c r="H79" i="14"/>
  <c r="H78" i="14"/>
  <c r="H36" i="12"/>
  <c r="C58" i="12"/>
  <c r="E36" i="12"/>
  <c r="N35" i="12"/>
  <c r="C40" i="12"/>
  <c r="F110" i="10"/>
  <c r="K128" i="10" s="1"/>
  <c r="D14" i="10"/>
  <c r="L15" i="12" s="1"/>
  <c r="B33" i="10"/>
  <c r="B34" i="10"/>
  <c r="B35" i="10"/>
  <c r="B36" i="10"/>
  <c r="B37" i="10"/>
  <c r="B38" i="10"/>
  <c r="B39" i="10"/>
  <c r="B40" i="10"/>
  <c r="B41" i="10"/>
  <c r="B42" i="10"/>
  <c r="B93" i="10"/>
  <c r="B94" i="10"/>
  <c r="B95" i="10"/>
  <c r="B96" i="10"/>
  <c r="B97" i="10"/>
  <c r="B98" i="10"/>
  <c r="B99" i="10"/>
  <c r="B100" i="10"/>
  <c r="B101" i="10"/>
  <c r="I41" i="1" l="1"/>
  <c r="I62" i="1" s="1"/>
  <c r="G204" i="10"/>
  <c r="L222" i="10" s="1"/>
  <c r="M222" i="10" s="1"/>
  <c r="I82" i="14"/>
  <c r="K82" i="14"/>
  <c r="J82" i="14"/>
  <c r="B168" i="10"/>
  <c r="F128" i="10"/>
  <c r="G110" i="10"/>
  <c r="L128" i="10" s="1"/>
  <c r="M128" i="10" s="1"/>
  <c r="K159" i="10"/>
  <c r="I159" i="10"/>
  <c r="J159" i="10"/>
  <c r="D204" i="10"/>
  <c r="G223" i="10" s="1"/>
  <c r="H223" i="10" s="1"/>
  <c r="D137" i="10"/>
  <c r="I253" i="10"/>
  <c r="J253" i="10"/>
  <c r="K253" i="10"/>
  <c r="D262" i="10"/>
  <c r="B280" i="10" s="1"/>
  <c r="O262" i="10"/>
  <c r="Q262" i="10" s="1"/>
  <c r="J222" i="10"/>
  <c r="E244" i="10"/>
  <c r="D230" i="10"/>
  <c r="I36" i="12"/>
  <c r="F58" i="12" s="1"/>
  <c r="D18" i="12"/>
  <c r="G37" i="12" s="1"/>
  <c r="F18" i="12"/>
  <c r="K36" i="12" s="1"/>
  <c r="M36" i="12" s="1"/>
  <c r="E58" i="12" s="1"/>
  <c r="F129" i="12"/>
  <c r="I64" i="10"/>
  <c r="K64" i="10"/>
  <c r="J64" i="10"/>
  <c r="G129" i="12"/>
  <c r="I22" i="1"/>
  <c r="I42" i="1"/>
  <c r="I63" i="1" s="1"/>
  <c r="C41" i="12"/>
  <c r="F36" i="12"/>
  <c r="B94" i="12"/>
  <c r="H14" i="10"/>
  <c r="D110" i="10"/>
  <c r="C34" i="10"/>
  <c r="D33" i="10" s="1"/>
  <c r="D34" i="10" s="1"/>
  <c r="C74" i="10"/>
  <c r="B15" i="10"/>
  <c r="G33" i="10"/>
  <c r="H110" i="10" l="1"/>
  <c r="E129" i="10" s="1"/>
  <c r="H204" i="10"/>
  <c r="E223" i="10" s="1"/>
  <c r="L82" i="14"/>
  <c r="M82" i="14" s="1"/>
  <c r="H18" i="12"/>
  <c r="C75" i="12" s="1"/>
  <c r="C113" i="12" s="1"/>
  <c r="D150" i="10"/>
  <c r="N128" i="10"/>
  <c r="D129" i="12"/>
  <c r="G129" i="10"/>
  <c r="H129" i="10" s="1"/>
  <c r="L159" i="10"/>
  <c r="F129" i="10"/>
  <c r="B169" i="10"/>
  <c r="D169" i="10" s="1"/>
  <c r="B187" i="10" s="1"/>
  <c r="O187" i="10" s="1"/>
  <c r="B205" i="10"/>
  <c r="I223" i="10" s="1"/>
  <c r="E245" i="10" s="1"/>
  <c r="D223" i="12"/>
  <c r="D168" i="10"/>
  <c r="B186" i="10" s="1"/>
  <c r="O168" i="10"/>
  <c r="Q168" i="10" s="1"/>
  <c r="L253" i="10"/>
  <c r="O280" i="10"/>
  <c r="F223" i="10"/>
  <c r="B263" i="10"/>
  <c r="D263" i="10" s="1"/>
  <c r="B281" i="10" s="1"/>
  <c r="O281" i="10" s="1"/>
  <c r="D231" i="10"/>
  <c r="D244" i="10"/>
  <c r="N222" i="10"/>
  <c r="J36" i="12"/>
  <c r="B19" i="12"/>
  <c r="I37" i="12" s="1"/>
  <c r="F59" i="12" s="1"/>
  <c r="C15" i="10"/>
  <c r="K16" i="12" s="1"/>
  <c r="J16" i="12"/>
  <c r="I33" i="10"/>
  <c r="H129" i="12"/>
  <c r="D169" i="12" s="1"/>
  <c r="D187" i="12" s="1"/>
  <c r="F205" i="10"/>
  <c r="K223" i="10" s="1"/>
  <c r="E73" i="10"/>
  <c r="P15" i="12"/>
  <c r="H222" i="12" s="1"/>
  <c r="L64" i="10"/>
  <c r="I23" i="1"/>
  <c r="I43" i="1"/>
  <c r="I64" i="1" s="1"/>
  <c r="N36" i="12"/>
  <c r="H37" i="12"/>
  <c r="C59" i="12"/>
  <c r="C42" i="12"/>
  <c r="E37" i="12"/>
  <c r="E33" i="10"/>
  <c r="B111" i="10"/>
  <c r="I129" i="10" s="1"/>
  <c r="H33" i="10"/>
  <c r="C35" i="10"/>
  <c r="C36" i="10" s="1"/>
  <c r="F15" i="10"/>
  <c r="D35" i="10"/>
  <c r="D262" i="12" l="1"/>
  <c r="D280" i="12" s="1"/>
  <c r="F223" i="12"/>
  <c r="G223" i="12"/>
  <c r="H223" i="12" s="1"/>
  <c r="D263" i="12" s="1"/>
  <c r="D281" i="12" s="1"/>
  <c r="J129" i="10"/>
  <c r="E151" i="10"/>
  <c r="J223" i="10"/>
  <c r="O186" i="10"/>
  <c r="C205" i="10"/>
  <c r="D205" i="10" s="1"/>
  <c r="G224" i="10" s="1"/>
  <c r="H224" i="10" s="1"/>
  <c r="B224" i="12"/>
  <c r="F224" i="12" s="1"/>
  <c r="D15" i="10"/>
  <c r="G34" i="10" s="1"/>
  <c r="G15" i="10"/>
  <c r="H15" i="10" s="1"/>
  <c r="C19" i="12"/>
  <c r="G19" i="12" s="1"/>
  <c r="L37" i="12" s="1"/>
  <c r="F19" i="12"/>
  <c r="K37" i="12" s="1"/>
  <c r="K33" i="10"/>
  <c r="N16" i="12"/>
  <c r="F111" i="10"/>
  <c r="K129" i="10" s="1"/>
  <c r="B130" i="12"/>
  <c r="G205" i="10"/>
  <c r="C224" i="12"/>
  <c r="J33" i="10"/>
  <c r="E55" i="10"/>
  <c r="D72" i="12"/>
  <c r="C262" i="12"/>
  <c r="C280" i="12" s="1"/>
  <c r="I24" i="1"/>
  <c r="I44" i="1"/>
  <c r="I65" i="1" s="1"/>
  <c r="J37" i="12"/>
  <c r="F37" i="12"/>
  <c r="B95" i="12"/>
  <c r="C43" i="12"/>
  <c r="C111" i="10"/>
  <c r="B74" i="10"/>
  <c r="D74" i="10" s="1"/>
  <c r="C37" i="10"/>
  <c r="D36" i="10"/>
  <c r="L16" i="12" l="1"/>
  <c r="B16" i="10"/>
  <c r="F16" i="10" s="1"/>
  <c r="H171" i="10"/>
  <c r="H170" i="10"/>
  <c r="H169" i="10"/>
  <c r="H168" i="10"/>
  <c r="H205" i="10"/>
  <c r="E224" i="10" s="1"/>
  <c r="L223" i="10"/>
  <c r="M223" i="10" s="1"/>
  <c r="H264" i="10"/>
  <c r="H263" i="10"/>
  <c r="H262" i="10"/>
  <c r="H265" i="10"/>
  <c r="O16" i="12"/>
  <c r="L33" i="10"/>
  <c r="G224" i="12"/>
  <c r="H224" i="12" s="1"/>
  <c r="D264" i="12" s="1"/>
  <c r="D282" i="12" s="1"/>
  <c r="D19" i="12"/>
  <c r="G38" i="12" s="1"/>
  <c r="M37" i="12"/>
  <c r="E59" i="12" s="1"/>
  <c r="H19" i="12"/>
  <c r="C76" i="12" s="1"/>
  <c r="C114" i="12" s="1"/>
  <c r="P16" i="12"/>
  <c r="C168" i="12"/>
  <c r="C186" i="12" s="1"/>
  <c r="D110" i="12"/>
  <c r="E110" i="12" s="1"/>
  <c r="B280" i="12" s="1"/>
  <c r="E280" i="12" s="1"/>
  <c r="E72" i="12"/>
  <c r="C16" i="10"/>
  <c r="J17" i="12"/>
  <c r="I34" i="10"/>
  <c r="K34" i="10"/>
  <c r="N17" i="12"/>
  <c r="G111" i="10"/>
  <c r="L129" i="10" s="1"/>
  <c r="M129" i="10" s="1"/>
  <c r="C130" i="12"/>
  <c r="F130" i="12"/>
  <c r="D224" i="12"/>
  <c r="I25" i="1"/>
  <c r="I45" i="1"/>
  <c r="I66" i="1" s="1"/>
  <c r="D111" i="10"/>
  <c r="G130" i="10" s="1"/>
  <c r="H130" i="10" s="1"/>
  <c r="B92" i="10"/>
  <c r="E34" i="10"/>
  <c r="E74" i="10"/>
  <c r="B206" i="10"/>
  <c r="I224" i="10" s="1"/>
  <c r="H34" i="10"/>
  <c r="C38" i="10"/>
  <c r="D37" i="10"/>
  <c r="N37" i="12" l="1"/>
  <c r="D151" i="10"/>
  <c r="N129" i="10"/>
  <c r="J224" i="10"/>
  <c r="E246" i="10"/>
  <c r="D245" i="10"/>
  <c r="N223" i="10"/>
  <c r="F224" i="10"/>
  <c r="B264" i="10"/>
  <c r="D264" i="10" s="1"/>
  <c r="B282" i="10" s="1"/>
  <c r="B20" i="12"/>
  <c r="I38" i="12" s="1"/>
  <c r="F60" i="12" s="1"/>
  <c r="E38" i="12"/>
  <c r="B96" i="12" s="1"/>
  <c r="B186" i="12"/>
  <c r="E186" i="12" s="1"/>
  <c r="G130" i="12"/>
  <c r="D73" i="12"/>
  <c r="C263" i="12"/>
  <c r="C281" i="12" s="1"/>
  <c r="J34" i="10"/>
  <c r="E56" i="10"/>
  <c r="B168" i="12"/>
  <c r="E168" i="12" s="1"/>
  <c r="B262" i="12"/>
  <c r="E262" i="12" s="1"/>
  <c r="B225" i="12"/>
  <c r="F225" i="12" s="1"/>
  <c r="D130" i="12"/>
  <c r="H111" i="10"/>
  <c r="E130" i="10" s="1"/>
  <c r="G16" i="10"/>
  <c r="K17" i="12"/>
  <c r="D16" i="10"/>
  <c r="I26" i="1"/>
  <c r="I46" i="1"/>
  <c r="I67" i="1" s="1"/>
  <c r="H38" i="12"/>
  <c r="C60" i="12"/>
  <c r="B112" i="10"/>
  <c r="F34" i="10"/>
  <c r="F206" i="10"/>
  <c r="K224" i="10" s="1"/>
  <c r="B75" i="10"/>
  <c r="C206" i="10"/>
  <c r="C39" i="10"/>
  <c r="D38" i="10"/>
  <c r="C112" i="10" l="1"/>
  <c r="I130" i="10"/>
  <c r="B170" i="10"/>
  <c r="D170" i="10" s="1"/>
  <c r="B188" i="10" s="1"/>
  <c r="O188" i="10" s="1"/>
  <c r="F130" i="10"/>
  <c r="O282" i="10"/>
  <c r="C20" i="12"/>
  <c r="G20" i="12" s="1"/>
  <c r="L38" i="12" s="1"/>
  <c r="F38" i="12"/>
  <c r="F20" i="12"/>
  <c r="K38" i="12" s="1"/>
  <c r="G35" i="10"/>
  <c r="L17" i="12"/>
  <c r="B17" i="10"/>
  <c r="C17" i="10" s="1"/>
  <c r="D17" i="10" s="1"/>
  <c r="G206" i="10"/>
  <c r="L224" i="10" s="1"/>
  <c r="M224" i="10" s="1"/>
  <c r="C225" i="12"/>
  <c r="G112" i="10"/>
  <c r="L130" i="10" s="1"/>
  <c r="C131" i="12"/>
  <c r="C169" i="12"/>
  <c r="C187" i="12" s="1"/>
  <c r="D111" i="12"/>
  <c r="L34" i="10"/>
  <c r="O17" i="12"/>
  <c r="H16" i="10"/>
  <c r="F112" i="10"/>
  <c r="B131" i="12"/>
  <c r="H130" i="12"/>
  <c r="D170" i="12" s="1"/>
  <c r="D188" i="12" s="1"/>
  <c r="I27" i="1"/>
  <c r="I48" i="1" s="1"/>
  <c r="I69" i="1" s="1"/>
  <c r="I47" i="1"/>
  <c r="I68" i="1" s="1"/>
  <c r="J38" i="12"/>
  <c r="D112" i="10"/>
  <c r="D206" i="10"/>
  <c r="G225" i="10" s="1"/>
  <c r="H225" i="10" s="1"/>
  <c r="C40" i="10"/>
  <c r="D39" i="10"/>
  <c r="D20" i="12" l="1"/>
  <c r="H112" i="10"/>
  <c r="K130" i="10"/>
  <c r="M130" i="10" s="1"/>
  <c r="B113" i="10"/>
  <c r="I131" i="10" s="1"/>
  <c r="G131" i="10"/>
  <c r="H131" i="10" s="1"/>
  <c r="E152" i="10"/>
  <c r="J130" i="10"/>
  <c r="D246" i="10"/>
  <c r="N224" i="10"/>
  <c r="G225" i="12"/>
  <c r="H225" i="12" s="1"/>
  <c r="D265" i="12" s="1"/>
  <c r="D283" i="12" s="1"/>
  <c r="H206" i="10"/>
  <c r="E225" i="10" s="1"/>
  <c r="D131" i="12"/>
  <c r="P17" i="12"/>
  <c r="E75" i="10"/>
  <c r="E35" i="10"/>
  <c r="G131" i="12"/>
  <c r="H35" i="10"/>
  <c r="G36" i="10"/>
  <c r="L18" i="12"/>
  <c r="F131" i="12"/>
  <c r="D225" i="12"/>
  <c r="G17" i="10"/>
  <c r="K18" i="12"/>
  <c r="F17" i="10"/>
  <c r="J18" i="12"/>
  <c r="I35" i="10"/>
  <c r="F113" i="10"/>
  <c r="K131" i="10" s="1"/>
  <c r="B132" i="12"/>
  <c r="H20" i="12"/>
  <c r="C77" i="12" s="1"/>
  <c r="C115" i="12" s="1"/>
  <c r="M38" i="12"/>
  <c r="E60" i="12" s="1"/>
  <c r="G39" i="12"/>
  <c r="B21" i="12"/>
  <c r="C21" i="12" s="1"/>
  <c r="G21" i="12" s="1"/>
  <c r="L39" i="12" s="1"/>
  <c r="B207" i="10"/>
  <c r="I225" i="10" s="1"/>
  <c r="B18" i="10"/>
  <c r="C41" i="10"/>
  <c r="D40" i="10"/>
  <c r="C113" i="10" l="1"/>
  <c r="D113" i="10" s="1"/>
  <c r="G132" i="10" s="1"/>
  <c r="H132" i="10" s="1"/>
  <c r="D152" i="10"/>
  <c r="N130" i="10"/>
  <c r="E153" i="10"/>
  <c r="J131" i="10"/>
  <c r="H131" i="12"/>
  <c r="D171" i="12" s="1"/>
  <c r="D189" i="12" s="1"/>
  <c r="E131" i="10"/>
  <c r="H36" i="10"/>
  <c r="E247" i="10"/>
  <c r="J225" i="10"/>
  <c r="F225" i="10"/>
  <c r="B265" i="10"/>
  <c r="D265" i="10" s="1"/>
  <c r="B283" i="10" s="1"/>
  <c r="J35" i="10"/>
  <c r="E57" i="10"/>
  <c r="D74" i="12"/>
  <c r="C264" i="12"/>
  <c r="C282" i="12" s="1"/>
  <c r="H17" i="10"/>
  <c r="O18" i="12"/>
  <c r="L35" i="10"/>
  <c r="K35" i="10"/>
  <c r="N18" i="12"/>
  <c r="B76" i="10"/>
  <c r="F35" i="10"/>
  <c r="B226" i="12"/>
  <c r="F226" i="12" s="1"/>
  <c r="F18" i="10"/>
  <c r="J19" i="12"/>
  <c r="I36" i="10"/>
  <c r="D132" i="12"/>
  <c r="G113" i="10"/>
  <c r="C132" i="12"/>
  <c r="F132" i="12"/>
  <c r="H39" i="12"/>
  <c r="C61" i="12"/>
  <c r="E39" i="12"/>
  <c r="F39" i="12" s="1"/>
  <c r="N38" i="12"/>
  <c r="I39" i="12"/>
  <c r="F61" i="12" s="1"/>
  <c r="F21" i="12"/>
  <c r="D21" i="12"/>
  <c r="C18" i="10"/>
  <c r="D18" i="10" s="1"/>
  <c r="F207" i="10"/>
  <c r="K225" i="10" s="1"/>
  <c r="C207" i="10"/>
  <c r="C226" i="12" s="1"/>
  <c r="G226" i="12" s="1"/>
  <c r="B114" i="10"/>
  <c r="I132" i="10" s="1"/>
  <c r="C42" i="10"/>
  <c r="D41" i="10"/>
  <c r="H113" i="10" l="1"/>
  <c r="L131" i="10"/>
  <c r="M131" i="10" s="1"/>
  <c r="F131" i="10"/>
  <c r="B171" i="10"/>
  <c r="D171" i="10" s="1"/>
  <c r="B189" i="10" s="1"/>
  <c r="O189" i="10" s="1"/>
  <c r="J132" i="10"/>
  <c r="E154" i="10"/>
  <c r="O283" i="10"/>
  <c r="C170" i="12"/>
  <c r="C188" i="12" s="1"/>
  <c r="D112" i="12"/>
  <c r="P18" i="12"/>
  <c r="E36" i="10"/>
  <c r="E76" i="10"/>
  <c r="R171" i="10" s="1"/>
  <c r="G18" i="10"/>
  <c r="L36" i="10" s="1"/>
  <c r="K19" i="12"/>
  <c r="E58" i="10"/>
  <c r="J36" i="10"/>
  <c r="G37" i="10"/>
  <c r="L19" i="12"/>
  <c r="G132" i="12"/>
  <c r="F114" i="10"/>
  <c r="B133" i="12"/>
  <c r="K36" i="10"/>
  <c r="N19" i="12"/>
  <c r="H226" i="12"/>
  <c r="B97" i="12"/>
  <c r="K39" i="12"/>
  <c r="M39" i="12" s="1"/>
  <c r="E61" i="12" s="1"/>
  <c r="H21" i="12"/>
  <c r="C78" i="12" s="1"/>
  <c r="C116" i="12" s="1"/>
  <c r="G40" i="12"/>
  <c r="B22" i="12"/>
  <c r="J39" i="12"/>
  <c r="C114" i="10"/>
  <c r="G207" i="10"/>
  <c r="L225" i="10" s="1"/>
  <c r="M225" i="10" s="1"/>
  <c r="D207" i="10"/>
  <c r="G226" i="10" s="1"/>
  <c r="H226" i="10" s="1"/>
  <c r="D42" i="10"/>
  <c r="B19" i="10"/>
  <c r="D153" i="10" l="1"/>
  <c r="N131" i="10"/>
  <c r="H132" i="12"/>
  <c r="D172" i="12" s="1"/>
  <c r="D190" i="12" s="1"/>
  <c r="E132" i="10"/>
  <c r="F133" i="12"/>
  <c r="K132" i="10"/>
  <c r="D247" i="10"/>
  <c r="N225" i="10"/>
  <c r="H37" i="10"/>
  <c r="D75" i="12"/>
  <c r="C265" i="12"/>
  <c r="C283" i="12" s="1"/>
  <c r="B77" i="10"/>
  <c r="F36" i="10"/>
  <c r="F19" i="10"/>
  <c r="J20" i="12"/>
  <c r="I37" i="10"/>
  <c r="D266" i="12"/>
  <c r="D284" i="12" s="1"/>
  <c r="G114" i="10"/>
  <c r="C133" i="12"/>
  <c r="D226" i="12"/>
  <c r="H18" i="10"/>
  <c r="O19" i="12"/>
  <c r="H40" i="12"/>
  <c r="C62" i="12"/>
  <c r="I40" i="12"/>
  <c r="F62" i="12" s="1"/>
  <c r="F22" i="12"/>
  <c r="K40" i="12" s="1"/>
  <c r="E40" i="12"/>
  <c r="C22" i="12"/>
  <c r="G22" i="12" s="1"/>
  <c r="L40" i="12" s="1"/>
  <c r="N39" i="12"/>
  <c r="B208" i="10"/>
  <c r="I226" i="10" s="1"/>
  <c r="H207" i="10"/>
  <c r="E226" i="10" s="1"/>
  <c r="D114" i="10"/>
  <c r="G133" i="10" s="1"/>
  <c r="H133" i="10" s="1"/>
  <c r="C19" i="10"/>
  <c r="B172" i="10" l="1"/>
  <c r="D172" i="10" s="1"/>
  <c r="B190" i="10" s="1"/>
  <c r="F132" i="10"/>
  <c r="H114" i="10"/>
  <c r="L132" i="10"/>
  <c r="M132" i="10"/>
  <c r="B266" i="10"/>
  <c r="D266" i="10" s="1"/>
  <c r="B284" i="10" s="1"/>
  <c r="F226" i="10"/>
  <c r="J226" i="10"/>
  <c r="E248" i="10"/>
  <c r="C171" i="12"/>
  <c r="C189" i="12" s="1"/>
  <c r="D113" i="12"/>
  <c r="G19" i="10"/>
  <c r="H19" i="10" s="1"/>
  <c r="P20" i="12" s="1"/>
  <c r="K20" i="12"/>
  <c r="D133" i="12"/>
  <c r="K37" i="10"/>
  <c r="N20" i="12"/>
  <c r="E59" i="10"/>
  <c r="J37" i="10"/>
  <c r="B227" i="12"/>
  <c r="F227" i="12" s="1"/>
  <c r="P19" i="12"/>
  <c r="E77" i="10"/>
  <c r="R265" i="10" s="1"/>
  <c r="E37" i="10"/>
  <c r="G133" i="12"/>
  <c r="D22" i="12"/>
  <c r="G41" i="12" s="1"/>
  <c r="H22" i="12"/>
  <c r="C79" i="12" s="1"/>
  <c r="C117" i="12" s="1"/>
  <c r="F40" i="12"/>
  <c r="B98" i="12"/>
  <c r="M40" i="12"/>
  <c r="E62" i="12" s="1"/>
  <c r="J40" i="12"/>
  <c r="D19" i="10"/>
  <c r="F208" i="10"/>
  <c r="K226" i="10" s="1"/>
  <c r="C208" i="10"/>
  <c r="C227" i="12" s="1"/>
  <c r="G227" i="12" s="1"/>
  <c r="B115" i="10"/>
  <c r="I133" i="10" s="1"/>
  <c r="D154" i="10" l="1"/>
  <c r="N132" i="10"/>
  <c r="H133" i="12"/>
  <c r="D173" i="12" s="1"/>
  <c r="D191" i="12" s="1"/>
  <c r="E172" i="10"/>
  <c r="E133" i="10"/>
  <c r="J133" i="10"/>
  <c r="E155" i="10"/>
  <c r="B23" i="12"/>
  <c r="I41" i="12" s="1"/>
  <c r="F63" i="12" s="1"/>
  <c r="D77" i="12"/>
  <c r="C267" i="12"/>
  <c r="C285" i="12" s="1"/>
  <c r="F37" i="10"/>
  <c r="B78" i="10"/>
  <c r="D76" i="12"/>
  <c r="C266" i="12"/>
  <c r="C284" i="12" s="1"/>
  <c r="F115" i="10"/>
  <c r="K133" i="10" s="1"/>
  <c r="B134" i="12"/>
  <c r="H227" i="12"/>
  <c r="G38" i="10"/>
  <c r="L20" i="12"/>
  <c r="L37" i="10"/>
  <c r="O20" i="12"/>
  <c r="H41" i="12"/>
  <c r="C63" i="12"/>
  <c r="C23" i="12"/>
  <c r="G23" i="12" s="1"/>
  <c r="L41" i="12" s="1"/>
  <c r="N40" i="12"/>
  <c r="E41" i="12"/>
  <c r="C115" i="10"/>
  <c r="B20" i="10"/>
  <c r="E38" i="10"/>
  <c r="E78" i="10"/>
  <c r="G208" i="10"/>
  <c r="L226" i="10" s="1"/>
  <c r="M226" i="10" s="1"/>
  <c r="D208" i="10"/>
  <c r="G227" i="10" s="1"/>
  <c r="H227" i="10" s="1"/>
  <c r="H38" i="10" l="1"/>
  <c r="R172" i="10"/>
  <c r="F172" i="10"/>
  <c r="F133" i="10"/>
  <c r="B173" i="10"/>
  <c r="D173" i="10" s="1"/>
  <c r="B191" i="10" s="1"/>
  <c r="D248" i="10"/>
  <c r="N226" i="10"/>
  <c r="B79" i="10"/>
  <c r="F23" i="12"/>
  <c r="K41" i="12" s="1"/>
  <c r="M41" i="12" s="1"/>
  <c r="E63" i="12" s="1"/>
  <c r="C172" i="12"/>
  <c r="C190" i="12" s="1"/>
  <c r="D114" i="12"/>
  <c r="F20" i="10"/>
  <c r="J21" i="12"/>
  <c r="I38" i="10"/>
  <c r="G115" i="10"/>
  <c r="L133" i="10" s="1"/>
  <c r="M133" i="10" s="1"/>
  <c r="C134" i="12"/>
  <c r="F134" i="12"/>
  <c r="D227" i="12"/>
  <c r="D267" i="12"/>
  <c r="D285" i="12" s="1"/>
  <c r="C173" i="12"/>
  <c r="C191" i="12" s="1"/>
  <c r="D115" i="12"/>
  <c r="D23" i="12"/>
  <c r="J41" i="12"/>
  <c r="F41" i="12"/>
  <c r="B99" i="12"/>
  <c r="C20" i="10"/>
  <c r="F38" i="10"/>
  <c r="B209" i="10"/>
  <c r="I227" i="10" s="1"/>
  <c r="H208" i="10"/>
  <c r="D115" i="10"/>
  <c r="G134" i="10" s="1"/>
  <c r="H134" i="10" s="1"/>
  <c r="H115" i="10"/>
  <c r="H23" i="12" l="1"/>
  <c r="C80" i="12" s="1"/>
  <c r="C118" i="12" s="1"/>
  <c r="D155" i="10"/>
  <c r="N133" i="10"/>
  <c r="H134" i="12"/>
  <c r="D174" i="12" s="1"/>
  <c r="D192" i="12" s="1"/>
  <c r="E134" i="10"/>
  <c r="E173" i="10"/>
  <c r="E227" i="10"/>
  <c r="E266" i="10"/>
  <c r="E249" i="10"/>
  <c r="J227" i="10"/>
  <c r="G134" i="12"/>
  <c r="F209" i="10"/>
  <c r="K227" i="10" s="1"/>
  <c r="B228" i="12"/>
  <c r="F228" i="12" s="1"/>
  <c r="E60" i="10"/>
  <c r="J38" i="10"/>
  <c r="D134" i="12"/>
  <c r="G20" i="10"/>
  <c r="H20" i="10" s="1"/>
  <c r="K21" i="12"/>
  <c r="K38" i="10"/>
  <c r="N21" i="12"/>
  <c r="N41" i="12"/>
  <c r="B24" i="12"/>
  <c r="G42" i="12"/>
  <c r="D20" i="10"/>
  <c r="B21" i="10" s="1"/>
  <c r="C209" i="10"/>
  <c r="B116" i="10"/>
  <c r="I134" i="10" s="1"/>
  <c r="E42" i="12" l="1"/>
  <c r="B100" i="12" s="1"/>
  <c r="E156" i="10"/>
  <c r="J134" i="10"/>
  <c r="R173" i="10"/>
  <c r="B174" i="10"/>
  <c r="D174" i="10" s="1"/>
  <c r="B192" i="10" s="1"/>
  <c r="F134" i="10"/>
  <c r="R266" i="10"/>
  <c r="F266" i="10"/>
  <c r="F227" i="10"/>
  <c r="B267" i="10"/>
  <c r="D267" i="10" s="1"/>
  <c r="B285" i="10" s="1"/>
  <c r="G39" i="10"/>
  <c r="L21" i="12"/>
  <c r="E79" i="10"/>
  <c r="P21" i="12"/>
  <c r="L38" i="10"/>
  <c r="O21" i="12"/>
  <c r="G209" i="10"/>
  <c r="C228" i="12"/>
  <c r="F116" i="10"/>
  <c r="K134" i="10" s="1"/>
  <c r="B135" i="12"/>
  <c r="J22" i="12"/>
  <c r="I39" i="10"/>
  <c r="H42" i="12"/>
  <c r="C64" i="12"/>
  <c r="C24" i="12"/>
  <c r="G24" i="12" s="1"/>
  <c r="L42" i="12" s="1"/>
  <c r="F24" i="12"/>
  <c r="I42" i="12"/>
  <c r="F64" i="12" s="1"/>
  <c r="E39" i="10"/>
  <c r="C116" i="10"/>
  <c r="D209" i="10"/>
  <c r="G228" i="10" s="1"/>
  <c r="H228" i="10" s="1"/>
  <c r="F21" i="10"/>
  <c r="N22" i="12" s="1"/>
  <c r="C21" i="10"/>
  <c r="K22" i="12" s="1"/>
  <c r="F42" i="12" l="1"/>
  <c r="H209" i="10"/>
  <c r="L227" i="10"/>
  <c r="M227" i="10" s="1"/>
  <c r="B80" i="10"/>
  <c r="F39" i="10"/>
  <c r="G228" i="12"/>
  <c r="H228" i="12" s="1"/>
  <c r="D268" i="12" s="1"/>
  <c r="H39" i="10"/>
  <c r="F135" i="12"/>
  <c r="D78" i="12"/>
  <c r="C268" i="12"/>
  <c r="C286" i="12" s="1"/>
  <c r="D228" i="12"/>
  <c r="D19" i="14"/>
  <c r="G116" i="10"/>
  <c r="C135" i="12"/>
  <c r="E61" i="10"/>
  <c r="J39" i="10"/>
  <c r="J42" i="12"/>
  <c r="K42" i="12"/>
  <c r="M42" i="12" s="1"/>
  <c r="E64" i="12" s="1"/>
  <c r="H24" i="12"/>
  <c r="C81" i="12" s="1"/>
  <c r="C119" i="12" s="1"/>
  <c r="D24" i="12"/>
  <c r="D116" i="10"/>
  <c r="G135" i="10" s="1"/>
  <c r="H135" i="10" s="1"/>
  <c r="B210" i="10"/>
  <c r="I228" i="10" s="1"/>
  <c r="G21" i="10"/>
  <c r="D21" i="10"/>
  <c r="L22" i="12" s="1"/>
  <c r="K39" i="10"/>
  <c r="D286" i="12" l="1"/>
  <c r="F99" i="14"/>
  <c r="H116" i="10"/>
  <c r="L134" i="10"/>
  <c r="M134" i="10" s="1"/>
  <c r="D249" i="10"/>
  <c r="N227" i="10"/>
  <c r="J228" i="10"/>
  <c r="E250" i="10"/>
  <c r="H19" i="14"/>
  <c r="E267" i="10"/>
  <c r="E228" i="10"/>
  <c r="H135" i="12"/>
  <c r="D175" i="12" s="1"/>
  <c r="D193" i="12" s="1"/>
  <c r="L39" i="10"/>
  <c r="O22" i="12"/>
  <c r="E39" i="14"/>
  <c r="F39" i="14" s="1"/>
  <c r="B229" i="12"/>
  <c r="F229" i="12" s="1"/>
  <c r="B20" i="14"/>
  <c r="G39" i="14"/>
  <c r="H39" i="14" s="1"/>
  <c r="G135" i="12"/>
  <c r="C174" i="12"/>
  <c r="C192" i="12" s="1"/>
  <c r="D116" i="12"/>
  <c r="D135" i="12"/>
  <c r="E43" i="12"/>
  <c r="N42" i="12"/>
  <c r="G43" i="12"/>
  <c r="B25" i="12"/>
  <c r="C25" i="12" s="1"/>
  <c r="G25" i="12" s="1"/>
  <c r="L43" i="12" s="1"/>
  <c r="B117" i="10"/>
  <c r="F210" i="10"/>
  <c r="K228" i="10" s="1"/>
  <c r="C210" i="10"/>
  <c r="G40" i="10"/>
  <c r="B22" i="10"/>
  <c r="H21" i="10"/>
  <c r="P22" i="12" s="1"/>
  <c r="C117" i="10" l="1"/>
  <c r="I135" i="10"/>
  <c r="D156" i="10"/>
  <c r="N134" i="10"/>
  <c r="E135" i="10"/>
  <c r="E174" i="10"/>
  <c r="R267" i="10"/>
  <c r="F228" i="10"/>
  <c r="B268" i="10"/>
  <c r="D268" i="10" s="1"/>
  <c r="B286" i="10" s="1"/>
  <c r="F117" i="10"/>
  <c r="K135" i="10" s="1"/>
  <c r="B136" i="12"/>
  <c r="I39" i="14"/>
  <c r="D79" i="12"/>
  <c r="C269" i="12"/>
  <c r="C287" i="12" s="1"/>
  <c r="G210" i="10"/>
  <c r="C229" i="12"/>
  <c r="C20" i="14"/>
  <c r="F20" i="14"/>
  <c r="F22" i="10"/>
  <c r="J23" i="12"/>
  <c r="I40" i="10"/>
  <c r="G117" i="10"/>
  <c r="L135" i="10" s="1"/>
  <c r="C136" i="12"/>
  <c r="H43" i="12"/>
  <c r="H45" i="12" s="1"/>
  <c r="C65" i="12"/>
  <c r="D25" i="12"/>
  <c r="F25" i="12"/>
  <c r="I43" i="12"/>
  <c r="F65" i="12" s="1"/>
  <c r="F43" i="12"/>
  <c r="F45" i="12" s="1"/>
  <c r="B86" i="12" s="1"/>
  <c r="B101" i="12"/>
  <c r="E40" i="10"/>
  <c r="E80" i="10"/>
  <c r="D117" i="10"/>
  <c r="G136" i="10" s="1"/>
  <c r="H136" i="10" s="1"/>
  <c r="D210" i="10"/>
  <c r="G229" i="10" s="1"/>
  <c r="H229" i="10" s="1"/>
  <c r="C22" i="10"/>
  <c r="H40" i="10"/>
  <c r="F135" i="10" l="1"/>
  <c r="B175" i="10"/>
  <c r="D175" i="10" s="1"/>
  <c r="B193" i="10" s="1"/>
  <c r="R174" i="10"/>
  <c r="J135" i="10"/>
  <c r="E157" i="10"/>
  <c r="M135" i="10"/>
  <c r="G20" i="14"/>
  <c r="L228" i="10"/>
  <c r="M228" i="10" s="1"/>
  <c r="B99" i="14"/>
  <c r="G229" i="12"/>
  <c r="H229" i="12" s="1"/>
  <c r="D269" i="12" s="1"/>
  <c r="H117" i="10"/>
  <c r="H210" i="10"/>
  <c r="D99" i="14"/>
  <c r="B117" i="14" s="1"/>
  <c r="E61" i="14"/>
  <c r="J39" i="14"/>
  <c r="D136" i="12"/>
  <c r="K40" i="10"/>
  <c r="N23" i="12"/>
  <c r="K39" i="14"/>
  <c r="E62" i="10"/>
  <c r="J40" i="10"/>
  <c r="D229" i="12"/>
  <c r="D20" i="14"/>
  <c r="G22" i="10"/>
  <c r="H22" i="10" s="1"/>
  <c r="P23" i="12" s="1"/>
  <c r="K23" i="12"/>
  <c r="G136" i="12"/>
  <c r="C175" i="12"/>
  <c r="C193" i="12" s="1"/>
  <c r="D117" i="12"/>
  <c r="F136" i="12"/>
  <c r="H92" i="12"/>
  <c r="H93" i="12"/>
  <c r="H94" i="12"/>
  <c r="H95" i="12"/>
  <c r="H96" i="12"/>
  <c r="H97" i="12"/>
  <c r="H98" i="12"/>
  <c r="H99" i="12"/>
  <c r="H100" i="12"/>
  <c r="H101" i="12"/>
  <c r="J43" i="12"/>
  <c r="J45" i="12" s="1"/>
  <c r="J46" i="12" s="1"/>
  <c r="K43" i="12"/>
  <c r="M43" i="12" s="1"/>
  <c r="E65" i="12" s="1"/>
  <c r="H25" i="12"/>
  <c r="C82" i="12" s="1"/>
  <c r="C120" i="12" s="1"/>
  <c r="H46" i="12"/>
  <c r="B81" i="10"/>
  <c r="B118" i="10"/>
  <c r="I136" i="10" s="1"/>
  <c r="B211" i="10"/>
  <c r="F40" i="10"/>
  <c r="D22" i="10"/>
  <c r="D287" i="12" l="1"/>
  <c r="F100" i="14"/>
  <c r="D157" i="10"/>
  <c r="N135" i="10"/>
  <c r="E158" i="10"/>
  <c r="J136" i="10"/>
  <c r="L39" i="14"/>
  <c r="H136" i="12"/>
  <c r="D176" i="12" s="1"/>
  <c r="D194" i="12" s="1"/>
  <c r="E136" i="10"/>
  <c r="E175" i="10"/>
  <c r="E229" i="10"/>
  <c r="E40" i="14" s="1"/>
  <c r="F40" i="14" s="1"/>
  <c r="E268" i="10"/>
  <c r="F211" i="10"/>
  <c r="K229" i="10" s="1"/>
  <c r="I229" i="10"/>
  <c r="D250" i="10"/>
  <c r="N228" i="10"/>
  <c r="M39" i="14"/>
  <c r="D61" i="14" s="1"/>
  <c r="H20" i="14"/>
  <c r="L40" i="10"/>
  <c r="O23" i="12"/>
  <c r="B23" i="10"/>
  <c r="C23" i="10" s="1"/>
  <c r="L23" i="12"/>
  <c r="C118" i="10"/>
  <c r="D118" i="10" s="1"/>
  <c r="G137" i="10" s="1"/>
  <c r="H137" i="10" s="1"/>
  <c r="H139" i="10" s="1"/>
  <c r="B137" i="12"/>
  <c r="G40" i="14"/>
  <c r="H40" i="14" s="1"/>
  <c r="D80" i="12"/>
  <c r="C270" i="12"/>
  <c r="C288" i="12" s="1"/>
  <c r="C211" i="10"/>
  <c r="G211" i="10" s="1"/>
  <c r="L229" i="10" s="1"/>
  <c r="B230" i="12"/>
  <c r="F230" i="12" s="1"/>
  <c r="B21" i="14"/>
  <c r="I92" i="12"/>
  <c r="N43" i="12"/>
  <c r="N45" i="12" s="1"/>
  <c r="N46" i="12" s="1"/>
  <c r="F48" i="12" s="1"/>
  <c r="F118" i="10"/>
  <c r="K136" i="10" s="1"/>
  <c r="E41" i="10"/>
  <c r="E81" i="10"/>
  <c r="G41" i="10"/>
  <c r="M229" i="10" l="1"/>
  <c r="R175" i="10"/>
  <c r="F136" i="10"/>
  <c r="B176" i="10"/>
  <c r="D176" i="10" s="1"/>
  <c r="B194" i="10" s="1"/>
  <c r="F21" i="14"/>
  <c r="N39" i="14"/>
  <c r="J229" i="10"/>
  <c r="E251" i="10"/>
  <c r="D251" i="10"/>
  <c r="N229" i="10"/>
  <c r="R268" i="10"/>
  <c r="F229" i="10"/>
  <c r="B269" i="10"/>
  <c r="D269" i="10" s="1"/>
  <c r="B287" i="10" s="1"/>
  <c r="I59" i="12"/>
  <c r="I56" i="12"/>
  <c r="I60" i="12"/>
  <c r="I61" i="12"/>
  <c r="I62" i="12"/>
  <c r="I55" i="12"/>
  <c r="I57" i="12"/>
  <c r="I58" i="12"/>
  <c r="I63" i="12"/>
  <c r="I64" i="12"/>
  <c r="G21" i="14"/>
  <c r="G23" i="10"/>
  <c r="O24" i="12" s="1"/>
  <c r="K24" i="12"/>
  <c r="C176" i="12"/>
  <c r="C194" i="12" s="1"/>
  <c r="D118" i="12"/>
  <c r="F23" i="10"/>
  <c r="J24" i="12"/>
  <c r="I41" i="10"/>
  <c r="I40" i="14"/>
  <c r="D137" i="12"/>
  <c r="F137" i="12"/>
  <c r="G118" i="10"/>
  <c r="L136" i="10" s="1"/>
  <c r="M136" i="10" s="1"/>
  <c r="C137" i="12"/>
  <c r="C230" i="12"/>
  <c r="C21" i="14"/>
  <c r="D211" i="10"/>
  <c r="K40" i="14"/>
  <c r="J92" i="12"/>
  <c r="B57" i="12"/>
  <c r="B59" i="12"/>
  <c r="B61" i="12"/>
  <c r="B63" i="12"/>
  <c r="B65" i="12"/>
  <c r="B56" i="12"/>
  <c r="B58" i="12"/>
  <c r="B60" i="12"/>
  <c r="B62" i="12"/>
  <c r="B64" i="12"/>
  <c r="F50" i="12"/>
  <c r="F41" i="10"/>
  <c r="D23" i="10"/>
  <c r="B82" i="10"/>
  <c r="H41" i="10"/>
  <c r="H211" i="10"/>
  <c r="B119" i="10"/>
  <c r="I137" i="10" s="1"/>
  <c r="D158" i="10" l="1"/>
  <c r="N136" i="10"/>
  <c r="J137" i="10"/>
  <c r="J139" i="10" s="1"/>
  <c r="E159" i="10"/>
  <c r="H21" i="14"/>
  <c r="E230" i="10"/>
  <c r="E269" i="10"/>
  <c r="B212" i="10"/>
  <c r="I230" i="10" s="1"/>
  <c r="G230" i="10"/>
  <c r="H230" i="10" s="1"/>
  <c r="B100" i="14"/>
  <c r="D100" i="14"/>
  <c r="B118" i="14" s="1"/>
  <c r="L41" i="10"/>
  <c r="H23" i="10"/>
  <c r="E82" i="10" s="1"/>
  <c r="G230" i="12"/>
  <c r="H230" i="12" s="1"/>
  <c r="D270" i="12" s="1"/>
  <c r="B138" i="12"/>
  <c r="E62" i="14"/>
  <c r="J40" i="14"/>
  <c r="G42" i="10"/>
  <c r="L24" i="12"/>
  <c r="K41" i="10"/>
  <c r="N24" i="12"/>
  <c r="F93" i="12"/>
  <c r="I93" i="12" s="1"/>
  <c r="J93" i="12" s="1"/>
  <c r="B112" i="12" s="1"/>
  <c r="B111" i="12"/>
  <c r="D230" i="12"/>
  <c r="D21" i="14"/>
  <c r="G137" i="12"/>
  <c r="H118" i="10"/>
  <c r="E63" i="10"/>
  <c r="J41" i="10"/>
  <c r="L40" i="14"/>
  <c r="M40" i="14" s="1"/>
  <c r="D56" i="12"/>
  <c r="G56" i="12" s="1"/>
  <c r="B73" i="12" s="1"/>
  <c r="E73" i="12" s="1"/>
  <c r="B24" i="10"/>
  <c r="C24" i="10" s="1"/>
  <c r="K25" i="12" s="1"/>
  <c r="F119" i="10"/>
  <c r="K137" i="10" s="1"/>
  <c r="C119" i="10"/>
  <c r="D288" i="12" l="1"/>
  <c r="F101" i="14"/>
  <c r="C212" i="10"/>
  <c r="F212" i="10"/>
  <c r="K230" i="10" s="1"/>
  <c r="E137" i="10"/>
  <c r="E176" i="10"/>
  <c r="K158" i="10"/>
  <c r="K149" i="10"/>
  <c r="K150" i="10"/>
  <c r="K152" i="10"/>
  <c r="K153" i="10"/>
  <c r="K151" i="10"/>
  <c r="K157" i="10"/>
  <c r="K154" i="10"/>
  <c r="K156" i="10"/>
  <c r="K155" i="10"/>
  <c r="B22" i="14"/>
  <c r="B231" i="12"/>
  <c r="F231" i="12" s="1"/>
  <c r="E252" i="10"/>
  <c r="J230" i="10"/>
  <c r="R269" i="10"/>
  <c r="F230" i="10"/>
  <c r="B270" i="10"/>
  <c r="D270" i="10" s="1"/>
  <c r="B288" i="10" s="1"/>
  <c r="E42" i="10"/>
  <c r="H42" i="10"/>
  <c r="H44" i="10" s="1"/>
  <c r="P24" i="12"/>
  <c r="C271" i="12" s="1"/>
  <c r="C289" i="12" s="1"/>
  <c r="D62" i="14"/>
  <c r="N40" i="14"/>
  <c r="F138" i="12"/>
  <c r="F24" i="10"/>
  <c r="J25" i="12"/>
  <c r="I42" i="10"/>
  <c r="E41" i="14"/>
  <c r="F41" i="14" s="1"/>
  <c r="E112" i="12"/>
  <c r="B282" i="12" s="1"/>
  <c r="E282" i="12" s="1"/>
  <c r="E111" i="12"/>
  <c r="B281" i="12" s="1"/>
  <c r="E281" i="12" s="1"/>
  <c r="F22" i="14"/>
  <c r="G41" i="14"/>
  <c r="H41" i="14" s="1"/>
  <c r="G119" i="10"/>
  <c r="L137" i="10" s="1"/>
  <c r="M137" i="10" s="1"/>
  <c r="C138" i="12"/>
  <c r="C231" i="12"/>
  <c r="C22" i="14"/>
  <c r="H137" i="12"/>
  <c r="D177" i="12" s="1"/>
  <c r="D195" i="12" s="1"/>
  <c r="I41" i="14"/>
  <c r="B263" i="12"/>
  <c r="E263" i="12" s="1"/>
  <c r="B169" i="12"/>
  <c r="E169" i="12" s="1"/>
  <c r="D57" i="12"/>
  <c r="G57" i="12" s="1"/>
  <c r="B74" i="12" s="1"/>
  <c r="E74" i="12" s="1"/>
  <c r="F94" i="12"/>
  <c r="I94" i="12" s="1"/>
  <c r="G212" i="10"/>
  <c r="L230" i="10" s="1"/>
  <c r="M230" i="10" s="1"/>
  <c r="D212" i="10"/>
  <c r="G231" i="10" s="1"/>
  <c r="H231" i="10" s="1"/>
  <c r="H233" i="10" s="1"/>
  <c r="D119" i="10"/>
  <c r="D138" i="12" s="1"/>
  <c r="G24" i="10"/>
  <c r="O25" i="12" s="1"/>
  <c r="D24" i="10"/>
  <c r="L25" i="12" s="1"/>
  <c r="F42" i="10" l="1"/>
  <c r="D81" i="12"/>
  <c r="D159" i="10"/>
  <c r="N137" i="10"/>
  <c r="N139" i="10" s="1"/>
  <c r="R176" i="10"/>
  <c r="F137" i="10"/>
  <c r="F139" i="10" s="1"/>
  <c r="B177" i="10"/>
  <c r="D177" i="10" s="1"/>
  <c r="B195" i="10" s="1"/>
  <c r="D252" i="10"/>
  <c r="N230" i="10"/>
  <c r="B83" i="10"/>
  <c r="G231" i="12"/>
  <c r="H231" i="12" s="1"/>
  <c r="D271" i="12" s="1"/>
  <c r="B187" i="12"/>
  <c r="E187" i="12" s="1"/>
  <c r="B188" i="12"/>
  <c r="E188" i="12" s="1"/>
  <c r="D231" i="12"/>
  <c r="D22" i="14"/>
  <c r="E63" i="14"/>
  <c r="J41" i="14"/>
  <c r="E64" i="10"/>
  <c r="J42" i="10"/>
  <c r="J44" i="10" s="1"/>
  <c r="G22" i="14"/>
  <c r="B101" i="14"/>
  <c r="C177" i="12"/>
  <c r="C195" i="12" s="1"/>
  <c r="D119" i="12"/>
  <c r="G138" i="12"/>
  <c r="K41" i="14"/>
  <c r="K42" i="10"/>
  <c r="N25" i="12"/>
  <c r="B264" i="12"/>
  <c r="E264" i="12" s="1"/>
  <c r="B170" i="12"/>
  <c r="E170" i="12" s="1"/>
  <c r="D58" i="12"/>
  <c r="G58" i="12" s="1"/>
  <c r="B75" i="12" s="1"/>
  <c r="E75" i="12" s="1"/>
  <c r="J94" i="12"/>
  <c r="B113" i="12" s="1"/>
  <c r="B213" i="10"/>
  <c r="I231" i="10" s="1"/>
  <c r="H212" i="10"/>
  <c r="H119" i="10"/>
  <c r="E177" i="10" s="1"/>
  <c r="R177" i="10" s="1"/>
  <c r="L42" i="10"/>
  <c r="H24" i="10"/>
  <c r="R179" i="10" l="1"/>
  <c r="D289" i="12"/>
  <c r="F102" i="14"/>
  <c r="E179" i="10"/>
  <c r="G174" i="10" s="1"/>
  <c r="G173" i="10"/>
  <c r="G175" i="10"/>
  <c r="G176" i="10"/>
  <c r="T177" i="10"/>
  <c r="G177" i="10"/>
  <c r="T172" i="10"/>
  <c r="T173" i="10"/>
  <c r="T174" i="10"/>
  <c r="T175" i="10"/>
  <c r="T176" i="10"/>
  <c r="N140" i="10"/>
  <c r="H140" i="10"/>
  <c r="J140" i="10"/>
  <c r="J158" i="10"/>
  <c r="J149" i="10"/>
  <c r="J150" i="10"/>
  <c r="J151" i="10"/>
  <c r="J152" i="10"/>
  <c r="J153" i="10"/>
  <c r="J157" i="10"/>
  <c r="J155" i="10"/>
  <c r="J156" i="10"/>
  <c r="J154" i="10"/>
  <c r="E231" i="10"/>
  <c r="E42" i="14" s="1"/>
  <c r="F42" i="14" s="1"/>
  <c r="F44" i="14" s="1"/>
  <c r="E270" i="10"/>
  <c r="E253" i="10"/>
  <c r="J231" i="10"/>
  <c r="J233" i="10" s="1"/>
  <c r="E83" i="10"/>
  <c r="E85" i="10" s="1"/>
  <c r="F82" i="10" s="1"/>
  <c r="G82" i="10" s="1"/>
  <c r="C100" i="10" s="1"/>
  <c r="P25" i="12"/>
  <c r="G42" i="14"/>
  <c r="H42" i="14" s="1"/>
  <c r="H44" i="14" s="1"/>
  <c r="H22" i="14"/>
  <c r="E113" i="12"/>
  <c r="B283" i="12" s="1"/>
  <c r="E283" i="12" s="1"/>
  <c r="D101" i="14"/>
  <c r="B119" i="14" s="1"/>
  <c r="B232" i="12"/>
  <c r="F232" i="12" s="1"/>
  <c r="B23" i="14"/>
  <c r="L41" i="14"/>
  <c r="M41" i="14" s="1"/>
  <c r="H138" i="12"/>
  <c r="D178" i="12" s="1"/>
  <c r="D196" i="12" s="1"/>
  <c r="K63" i="10"/>
  <c r="K57" i="10"/>
  <c r="K56" i="10"/>
  <c r="K54" i="10"/>
  <c r="K55" i="10"/>
  <c r="K59" i="10"/>
  <c r="K60" i="10"/>
  <c r="K62" i="10"/>
  <c r="K58" i="10"/>
  <c r="K61" i="10"/>
  <c r="B171" i="12"/>
  <c r="E171" i="12" s="1"/>
  <c r="B265" i="12"/>
  <c r="E265" i="12" s="1"/>
  <c r="D59" i="12"/>
  <c r="G59" i="12" s="1"/>
  <c r="B76" i="12" s="1"/>
  <c r="E76" i="12" s="1"/>
  <c r="F95" i="12"/>
  <c r="I95" i="12" s="1"/>
  <c r="F213" i="10"/>
  <c r="K231" i="10" s="1"/>
  <c r="C213" i="10"/>
  <c r="M36" i="10"/>
  <c r="M37" i="10"/>
  <c r="M40" i="10"/>
  <c r="M41" i="10"/>
  <c r="F142" i="10" l="1"/>
  <c r="F104" i="14"/>
  <c r="G102" i="14" s="1"/>
  <c r="B153" i="10"/>
  <c r="B158" i="10"/>
  <c r="B151" i="10"/>
  <c r="B156" i="10"/>
  <c r="B152" i="10"/>
  <c r="B157" i="10"/>
  <c r="B154" i="10"/>
  <c r="B150" i="10"/>
  <c r="B155" i="10"/>
  <c r="B159" i="10"/>
  <c r="I158" i="10" s="1"/>
  <c r="L158" i="10" s="1"/>
  <c r="F81" i="10"/>
  <c r="G81" i="10" s="1"/>
  <c r="C99" i="10" s="1"/>
  <c r="K252" i="10"/>
  <c r="K243" i="10"/>
  <c r="K244" i="10"/>
  <c r="K245" i="10"/>
  <c r="K246" i="10"/>
  <c r="K247" i="10"/>
  <c r="K248" i="10"/>
  <c r="K251" i="10"/>
  <c r="K249" i="10"/>
  <c r="K250" i="10"/>
  <c r="R270" i="10"/>
  <c r="F231" i="10"/>
  <c r="F233" i="10" s="1"/>
  <c r="H234" i="10" s="1"/>
  <c r="B271" i="10"/>
  <c r="D271" i="10" s="1"/>
  <c r="B289" i="10" s="1"/>
  <c r="F80" i="10"/>
  <c r="G80" i="10" s="1"/>
  <c r="C98" i="10" s="1"/>
  <c r="F79" i="10"/>
  <c r="G79" i="10" s="1"/>
  <c r="C97" i="10" s="1"/>
  <c r="F78" i="10"/>
  <c r="G78" i="10" s="1"/>
  <c r="C96" i="10" s="1"/>
  <c r="F75" i="10"/>
  <c r="G75" i="10" s="1"/>
  <c r="C93" i="10" s="1"/>
  <c r="C187" i="10" s="1"/>
  <c r="F77" i="10"/>
  <c r="G77" i="10" s="1"/>
  <c r="C95" i="10" s="1"/>
  <c r="C189" i="10" s="1"/>
  <c r="F76" i="10"/>
  <c r="G76" i="10" s="1"/>
  <c r="C94" i="10" s="1"/>
  <c r="C188" i="10" s="1"/>
  <c r="F83" i="10"/>
  <c r="G83" i="10" s="1"/>
  <c r="C101" i="10" s="1"/>
  <c r="F74" i="10"/>
  <c r="G74" i="10" s="1"/>
  <c r="C92" i="10" s="1"/>
  <c r="B189" i="12"/>
  <c r="E189" i="12" s="1"/>
  <c r="F23" i="14"/>
  <c r="D63" i="14"/>
  <c r="N41" i="14"/>
  <c r="I42" i="14"/>
  <c r="H45" i="14"/>
  <c r="D82" i="12"/>
  <c r="C272" i="12"/>
  <c r="C290" i="12" s="1"/>
  <c r="C232" i="12"/>
  <c r="C23" i="14"/>
  <c r="B172" i="12"/>
  <c r="E172" i="12" s="1"/>
  <c r="B266" i="12"/>
  <c r="E266" i="12" s="1"/>
  <c r="D60" i="12"/>
  <c r="G60" i="12" s="1"/>
  <c r="B77" i="12" s="1"/>
  <c r="E77" i="12" s="1"/>
  <c r="J95" i="12"/>
  <c r="B114" i="12" s="1"/>
  <c r="G213" i="10"/>
  <c r="L231" i="10" s="1"/>
  <c r="M231" i="10" s="1"/>
  <c r="D213" i="10"/>
  <c r="D63" i="10"/>
  <c r="N41" i="10"/>
  <c r="D59" i="10"/>
  <c r="N37" i="10"/>
  <c r="D62" i="10"/>
  <c r="N40" i="10"/>
  <c r="D58" i="10"/>
  <c r="N36" i="10"/>
  <c r="M33" i="10"/>
  <c r="M39" i="10"/>
  <c r="M35" i="10"/>
  <c r="M42" i="10"/>
  <c r="M38" i="10"/>
  <c r="M34" i="10"/>
  <c r="I153" i="10" l="1"/>
  <c r="L153" i="10" s="1"/>
  <c r="Q154" i="10" s="1"/>
  <c r="I156" i="10"/>
  <c r="L156" i="10" s="1"/>
  <c r="G100" i="14"/>
  <c r="G99" i="14"/>
  <c r="G101" i="14"/>
  <c r="C150" i="10"/>
  <c r="F150" i="10" s="1"/>
  <c r="I149" i="10"/>
  <c r="P189" i="10"/>
  <c r="C283" i="10"/>
  <c r="P283" i="10" s="1"/>
  <c r="I151" i="10"/>
  <c r="L151" i="10" s="1"/>
  <c r="P187" i="10"/>
  <c r="C281" i="10"/>
  <c r="P281" i="10" s="1"/>
  <c r="I155" i="10"/>
  <c r="L155" i="10" s="1"/>
  <c r="I150" i="10"/>
  <c r="L150" i="10" s="1"/>
  <c r="D92" i="10"/>
  <c r="D93" i="10" s="1"/>
  <c r="C186" i="10"/>
  <c r="C282" i="10"/>
  <c r="P282" i="10" s="1"/>
  <c r="P188" i="10"/>
  <c r="I157" i="10"/>
  <c r="L157" i="10" s="1"/>
  <c r="I154" i="10"/>
  <c r="L154" i="10" s="1"/>
  <c r="I152" i="10"/>
  <c r="L152" i="10" s="1"/>
  <c r="D253" i="10"/>
  <c r="N231" i="10"/>
  <c r="N233" i="10" s="1"/>
  <c r="N234" i="10" s="1"/>
  <c r="J234" i="10"/>
  <c r="G232" i="12"/>
  <c r="H232" i="12" s="1"/>
  <c r="D272" i="12" s="1"/>
  <c r="D290" i="12" s="1"/>
  <c r="C178" i="12"/>
  <c r="C196" i="12" s="1"/>
  <c r="D120" i="12"/>
  <c r="D232" i="12"/>
  <c r="D23" i="14"/>
  <c r="D102" i="14"/>
  <c r="B120" i="14" s="1"/>
  <c r="B102" i="14"/>
  <c r="E114" i="12"/>
  <c r="B284" i="12" s="1"/>
  <c r="E284" i="12" s="1"/>
  <c r="E64" i="14"/>
  <c r="J42" i="14"/>
  <c r="J44" i="14" s="1"/>
  <c r="J45" i="14" s="1"/>
  <c r="G23" i="14"/>
  <c r="K42" i="14"/>
  <c r="B267" i="12"/>
  <c r="E267" i="12" s="1"/>
  <c r="B173" i="12"/>
  <c r="E173" i="12" s="1"/>
  <c r="D61" i="12"/>
  <c r="G61" i="12" s="1"/>
  <c r="B78" i="12" s="1"/>
  <c r="E78" i="12" s="1"/>
  <c r="F96" i="12"/>
  <c r="I96" i="12" s="1"/>
  <c r="H213" i="10"/>
  <c r="E271" i="10" s="1"/>
  <c r="D64" i="10"/>
  <c r="J63" i="10" s="1"/>
  <c r="N42" i="10"/>
  <c r="D57" i="10"/>
  <c r="N35" i="10"/>
  <c r="D56" i="10"/>
  <c r="N34" i="10"/>
  <c r="D61" i="10"/>
  <c r="N39" i="10"/>
  <c r="D60" i="10"/>
  <c r="N38" i="10"/>
  <c r="N33" i="10"/>
  <c r="D55" i="10"/>
  <c r="F236" i="10" l="1"/>
  <c r="C151" i="10"/>
  <c r="F151" i="10" s="1"/>
  <c r="C280" i="10"/>
  <c r="P186" i="10"/>
  <c r="D186" i="10"/>
  <c r="B244" i="10"/>
  <c r="B245" i="10"/>
  <c r="B250" i="10"/>
  <c r="B246" i="10"/>
  <c r="B251" i="10"/>
  <c r="B252" i="10"/>
  <c r="B247" i="10"/>
  <c r="B249" i="10"/>
  <c r="B253" i="10"/>
  <c r="I252" i="10" s="1"/>
  <c r="B248" i="10"/>
  <c r="R271" i="10"/>
  <c r="R273" i="10" s="1"/>
  <c r="E273" i="10"/>
  <c r="J252" i="10"/>
  <c r="J243" i="10"/>
  <c r="J244" i="10"/>
  <c r="J245" i="10"/>
  <c r="J246" i="10"/>
  <c r="J247" i="10"/>
  <c r="J250" i="10"/>
  <c r="J248" i="10"/>
  <c r="J249" i="10"/>
  <c r="J251" i="10"/>
  <c r="J56" i="10"/>
  <c r="B190" i="12"/>
  <c r="E190" i="12" s="1"/>
  <c r="J55" i="10"/>
  <c r="J62" i="10"/>
  <c r="J60" i="10"/>
  <c r="H23" i="14"/>
  <c r="J58" i="10"/>
  <c r="J54" i="10"/>
  <c r="J61" i="10"/>
  <c r="L42" i="14"/>
  <c r="M42" i="14" s="1"/>
  <c r="J59" i="10"/>
  <c r="J57" i="10"/>
  <c r="K81" i="14"/>
  <c r="K63" i="14"/>
  <c r="K61" i="14"/>
  <c r="K78" i="14"/>
  <c r="K80" i="14"/>
  <c r="K79" i="14"/>
  <c r="K62" i="14"/>
  <c r="B268" i="12"/>
  <c r="E268" i="12" s="1"/>
  <c r="O38" i="14" s="1"/>
  <c r="B174" i="12"/>
  <c r="E174" i="12" s="1"/>
  <c r="D62" i="12"/>
  <c r="G62" i="12" s="1"/>
  <c r="B79" i="12" s="1"/>
  <c r="E79" i="12" s="1"/>
  <c r="J96" i="12"/>
  <c r="B115" i="12" s="1"/>
  <c r="D94" i="10"/>
  <c r="N44" i="10"/>
  <c r="I251" i="10" l="1"/>
  <c r="C152" i="10"/>
  <c r="F152" i="10" s="1"/>
  <c r="I248" i="10"/>
  <c r="L248" i="10" s="1"/>
  <c r="Q186" i="10"/>
  <c r="D187" i="10"/>
  <c r="L251" i="10"/>
  <c r="P280" i="10"/>
  <c r="D280" i="10"/>
  <c r="I246" i="10"/>
  <c r="L246" i="10" s="1"/>
  <c r="I250" i="10"/>
  <c r="L250" i="10" s="1"/>
  <c r="G267" i="10"/>
  <c r="G268" i="10"/>
  <c r="G269" i="10"/>
  <c r="G270" i="10"/>
  <c r="G271" i="10"/>
  <c r="I245" i="10"/>
  <c r="L245" i="10" s="1"/>
  <c r="T266" i="10"/>
  <c r="T267" i="10"/>
  <c r="T268" i="10"/>
  <c r="T269" i="10"/>
  <c r="T270" i="10"/>
  <c r="T271" i="10"/>
  <c r="I249" i="10"/>
  <c r="L249" i="10" s="1"/>
  <c r="I247" i="10"/>
  <c r="L247" i="10" s="1"/>
  <c r="Q248" i="10" s="1"/>
  <c r="I244" i="10"/>
  <c r="L244" i="10" s="1"/>
  <c r="L252" i="10"/>
  <c r="C244" i="10"/>
  <c r="F244" i="10" s="1"/>
  <c r="I243" i="10"/>
  <c r="D64" i="14"/>
  <c r="N42" i="14"/>
  <c r="N44" i="14" s="1"/>
  <c r="N45" i="14" s="1"/>
  <c r="E115" i="12"/>
  <c r="B285" i="12" s="1"/>
  <c r="E285" i="12" s="1"/>
  <c r="B175" i="12"/>
  <c r="E175" i="12" s="1"/>
  <c r="B269" i="12"/>
  <c r="E269" i="12" s="1"/>
  <c r="L60" i="14"/>
  <c r="O44" i="14"/>
  <c r="O45" i="14" s="1"/>
  <c r="F60" i="14"/>
  <c r="D63" i="12"/>
  <c r="G63" i="12" s="1"/>
  <c r="B80" i="12" s="1"/>
  <c r="E80" i="12" s="1"/>
  <c r="F97" i="12"/>
  <c r="I97" i="12" s="1"/>
  <c r="D95" i="10"/>
  <c r="S265" i="10" l="1"/>
  <c r="S171" i="10"/>
  <c r="Q187" i="10"/>
  <c r="D188" i="10"/>
  <c r="Q280" i="10"/>
  <c r="D281" i="10"/>
  <c r="C153" i="10"/>
  <c r="F153" i="10" s="1"/>
  <c r="C245" i="10"/>
  <c r="F245" i="10" s="1"/>
  <c r="U267" i="10"/>
  <c r="P285" i="10" s="1"/>
  <c r="U271" i="10"/>
  <c r="P289" i="10" s="1"/>
  <c r="U268" i="10"/>
  <c r="P286" i="10" s="1"/>
  <c r="U269" i="10"/>
  <c r="P287" i="10" s="1"/>
  <c r="U270" i="10"/>
  <c r="P288" i="10" s="1"/>
  <c r="U266" i="10"/>
  <c r="P284" i="10" s="1"/>
  <c r="B191" i="12"/>
  <c r="E191" i="12" s="1"/>
  <c r="F47" i="14"/>
  <c r="B61" i="14" s="1"/>
  <c r="J81" i="14"/>
  <c r="J63" i="14"/>
  <c r="J78" i="14"/>
  <c r="J61" i="14"/>
  <c r="J80" i="14"/>
  <c r="J79" i="14"/>
  <c r="J62" i="14"/>
  <c r="B176" i="12"/>
  <c r="E176" i="12" s="1"/>
  <c r="B270" i="12"/>
  <c r="E270" i="12" s="1"/>
  <c r="D64" i="12"/>
  <c r="G64" i="12" s="1"/>
  <c r="B81" i="12" s="1"/>
  <c r="E81" i="12" s="1"/>
  <c r="J97" i="12"/>
  <c r="B116" i="12" s="1"/>
  <c r="D96" i="10"/>
  <c r="H172" i="10" s="1"/>
  <c r="F33" i="10"/>
  <c r="C154" i="10" l="1"/>
  <c r="F154" i="10" s="1"/>
  <c r="C190" i="10"/>
  <c r="C284" i="10" s="1"/>
  <c r="L172" i="10"/>
  <c r="U172" i="10"/>
  <c r="P190" i="10" s="1"/>
  <c r="U176" i="10"/>
  <c r="P194" i="10" s="1"/>
  <c r="U173" i="10"/>
  <c r="P191" i="10" s="1"/>
  <c r="U177" i="10"/>
  <c r="P195" i="10" s="1"/>
  <c r="U174" i="10"/>
  <c r="P192" i="10" s="1"/>
  <c r="U175" i="10"/>
  <c r="P193" i="10" s="1"/>
  <c r="Q188" i="10"/>
  <c r="D189" i="10"/>
  <c r="Q281" i="10"/>
  <c r="D282" i="10"/>
  <c r="C246" i="10"/>
  <c r="F246" i="10" s="1"/>
  <c r="B63" i="14"/>
  <c r="B64" i="14"/>
  <c r="I81" i="14" s="1"/>
  <c r="L81" i="14" s="1"/>
  <c r="B62" i="14"/>
  <c r="E116" i="12"/>
  <c r="B286" i="12" s="1"/>
  <c r="E286" i="12" s="1"/>
  <c r="E98" i="14" s="1"/>
  <c r="B271" i="12"/>
  <c r="E271" i="12" s="1"/>
  <c r="B177" i="12"/>
  <c r="E177" i="12" s="1"/>
  <c r="D65" i="12"/>
  <c r="G65" i="12" s="1"/>
  <c r="B82" i="12" s="1"/>
  <c r="C61" i="14"/>
  <c r="F61" i="14" s="1"/>
  <c r="F98" i="12"/>
  <c r="D97" i="10"/>
  <c r="I80" i="14" l="1"/>
  <c r="L80" i="14" s="1"/>
  <c r="M80" i="14" s="1"/>
  <c r="I62" i="14"/>
  <c r="L62" i="14" s="1"/>
  <c r="I79" i="14"/>
  <c r="L79" i="14" s="1"/>
  <c r="Q282" i="10"/>
  <c r="D283" i="10"/>
  <c r="C155" i="10"/>
  <c r="F155" i="10" s="1"/>
  <c r="D190" i="10"/>
  <c r="Q189" i="10"/>
  <c r="Q190" i="10" s="1"/>
  <c r="Q191" i="10" s="1"/>
  <c r="Q192" i="10" s="1"/>
  <c r="Q193" i="10" s="1"/>
  <c r="Q194" i="10" s="1"/>
  <c r="Q195" i="10" s="1"/>
  <c r="C247" i="10"/>
  <c r="F247" i="10" s="1"/>
  <c r="I63" i="14"/>
  <c r="L63" i="14" s="1"/>
  <c r="M81" i="14" s="1"/>
  <c r="I78" i="14"/>
  <c r="L78" i="14" s="1"/>
  <c r="M78" i="14" s="1"/>
  <c r="C62" i="14"/>
  <c r="F62" i="14" s="1"/>
  <c r="C63" i="14" s="1"/>
  <c r="F63" i="14" s="1"/>
  <c r="C64" i="14" s="1"/>
  <c r="F64" i="14" s="1"/>
  <c r="I61" i="14"/>
  <c r="L61" i="14" s="1"/>
  <c r="M79" i="14" s="1"/>
  <c r="B192" i="12"/>
  <c r="E192" i="12" s="1"/>
  <c r="I98" i="12"/>
  <c r="J98" i="12" s="1"/>
  <c r="B117" i="12" s="1"/>
  <c r="D116" i="14"/>
  <c r="H99" i="14"/>
  <c r="C117" i="14" s="1"/>
  <c r="H100" i="14"/>
  <c r="C118" i="14" s="1"/>
  <c r="H101" i="14"/>
  <c r="C119" i="14" s="1"/>
  <c r="H102" i="14"/>
  <c r="C120" i="14" s="1"/>
  <c r="D98" i="10"/>
  <c r="C156" i="10" l="1"/>
  <c r="F156" i="10" s="1"/>
  <c r="H176" i="10"/>
  <c r="C194" i="10" s="1"/>
  <c r="H174" i="10"/>
  <c r="C192" i="10" s="1"/>
  <c r="H175" i="10"/>
  <c r="C193" i="10" s="1"/>
  <c r="H173" i="10"/>
  <c r="C191" i="10" s="1"/>
  <c r="D191" i="10" s="1"/>
  <c r="H177" i="10"/>
  <c r="C195" i="10" s="1"/>
  <c r="H266" i="10"/>
  <c r="L266" i="10" s="1"/>
  <c r="Q283" i="10"/>
  <c r="Q284" i="10" s="1"/>
  <c r="Q285" i="10" s="1"/>
  <c r="Q286" i="10" s="1"/>
  <c r="Q287" i="10" s="1"/>
  <c r="Q288" i="10" s="1"/>
  <c r="Q289" i="10" s="1"/>
  <c r="D284" i="10"/>
  <c r="C248" i="10"/>
  <c r="F248" i="10" s="1"/>
  <c r="E117" i="12"/>
  <c r="B287" i="12" s="1"/>
  <c r="E287" i="12" s="1"/>
  <c r="F99" i="12"/>
  <c r="I99" i="12" s="1"/>
  <c r="D117" i="14"/>
  <c r="D118" i="14" s="1"/>
  <c r="D119" i="14" s="1"/>
  <c r="D120" i="14" s="1"/>
  <c r="D99" i="10"/>
  <c r="D192" i="10" l="1"/>
  <c r="D193" i="10" s="1"/>
  <c r="D194" i="10" s="1"/>
  <c r="D195" i="10" s="1"/>
  <c r="C157" i="10"/>
  <c r="F157" i="10" s="1"/>
  <c r="H268" i="10"/>
  <c r="C286" i="10" s="1"/>
  <c r="H271" i="10"/>
  <c r="C289" i="10" s="1"/>
  <c r="H267" i="10"/>
  <c r="C285" i="10" s="1"/>
  <c r="D285" i="10" s="1"/>
  <c r="D286" i="10" s="1"/>
  <c r="H270" i="10"/>
  <c r="C288" i="10" s="1"/>
  <c r="H269" i="10"/>
  <c r="C287" i="10" s="1"/>
  <c r="C249" i="10"/>
  <c r="F249" i="10" s="1"/>
  <c r="B193" i="12"/>
  <c r="E193" i="12" s="1"/>
  <c r="J99" i="12"/>
  <c r="B118" i="12" s="1"/>
  <c r="D100" i="10"/>
  <c r="D287" i="10" l="1"/>
  <c r="D288" i="10" s="1"/>
  <c r="D289" i="10" s="1"/>
  <c r="C158" i="10"/>
  <c r="F158" i="10" s="1"/>
  <c r="C250" i="10"/>
  <c r="F250" i="10" s="1"/>
  <c r="E118" i="12"/>
  <c r="B288" i="12" s="1"/>
  <c r="E288" i="12" s="1"/>
  <c r="F100" i="12"/>
  <c r="I100" i="12" s="1"/>
  <c r="D101" i="10"/>
  <c r="C159" i="10" l="1"/>
  <c r="F159" i="10" s="1"/>
  <c r="C251" i="10"/>
  <c r="F251" i="10" s="1"/>
  <c r="B194" i="12"/>
  <c r="E194" i="12" s="1"/>
  <c r="J100" i="12"/>
  <c r="B119" i="12" s="1"/>
  <c r="C252" i="10" l="1"/>
  <c r="F252" i="10" s="1"/>
  <c r="E119" i="12"/>
  <c r="B289" i="12" s="1"/>
  <c r="E289" i="12" s="1"/>
  <c r="F101" i="12"/>
  <c r="I101" i="12" s="1"/>
  <c r="C253" i="10" l="1"/>
  <c r="F253" i="10" s="1"/>
  <c r="B195" i="12"/>
  <c r="E195" i="12" s="1"/>
  <c r="J101" i="12"/>
  <c r="B120" i="12" s="1"/>
  <c r="F44" i="10" l="1"/>
  <c r="J45" i="10" l="1"/>
  <c r="H45" i="10"/>
  <c r="N45" i="10"/>
  <c r="F47" i="10" l="1"/>
  <c r="F49" i="10" s="1"/>
  <c r="B58" i="10" l="1"/>
  <c r="B62" i="10"/>
  <c r="B59" i="10"/>
  <c r="B63" i="10"/>
  <c r="B56" i="10"/>
  <c r="B60" i="10"/>
  <c r="B64" i="10"/>
  <c r="B57" i="10"/>
  <c r="B61" i="10"/>
  <c r="B55" i="10"/>
  <c r="I63" i="10" l="1"/>
  <c r="L63" i="10" s="1"/>
  <c r="I56" i="10"/>
  <c r="L56" i="10" s="1"/>
  <c r="I62" i="10"/>
  <c r="L62" i="10" s="1"/>
  <c r="I59" i="10"/>
  <c r="L59" i="10" s="1"/>
  <c r="N59" i="10" s="1"/>
  <c r="I61" i="10"/>
  <c r="L61" i="10" s="1"/>
  <c r="I58" i="10"/>
  <c r="L58" i="10" s="1"/>
  <c r="C55" i="10"/>
  <c r="I54" i="10"/>
  <c r="I60" i="10"/>
  <c r="L60" i="10" s="1"/>
  <c r="I55" i="10"/>
  <c r="L55" i="10" s="1"/>
  <c r="I57" i="10"/>
  <c r="L57" i="10" s="1"/>
  <c r="F55" i="10" l="1"/>
  <c r="C56" i="10" s="1"/>
  <c r="F56" i="10" l="1"/>
  <c r="C57" i="10" s="1"/>
  <c r="F57" i="10" l="1"/>
  <c r="C58" i="10" l="1"/>
  <c r="F58" i="10"/>
  <c r="P248" i="10" l="1"/>
  <c r="R248" i="10" s="1"/>
  <c r="P154" i="10"/>
  <c r="R154" i="10" s="1"/>
  <c r="C59" i="10"/>
  <c r="F59" i="10" s="1"/>
  <c r="C60" i="10" l="1"/>
  <c r="F60" i="10" s="1"/>
  <c r="C61" i="10" l="1"/>
  <c r="F61" i="10" s="1"/>
  <c r="C62" i="10" l="1"/>
  <c r="F62" i="10" s="1"/>
  <c r="C63" i="10" s="1"/>
  <c r="F63" i="10" l="1"/>
  <c r="C64" i="10" l="1"/>
  <c r="F64" i="10" s="1"/>
</calcChain>
</file>

<file path=xl/sharedStrings.xml><?xml version="1.0" encoding="utf-8"?>
<sst xmlns="http://schemas.openxmlformats.org/spreadsheetml/2006/main" count="970" uniqueCount="177">
  <si>
    <t xml:space="preserve">Policy </t>
  </si>
  <si>
    <t>Year</t>
  </si>
  <si>
    <t>Mortality</t>
  </si>
  <si>
    <t>Rate</t>
  </si>
  <si>
    <t>Premium</t>
  </si>
  <si>
    <t>Expense</t>
  </si>
  <si>
    <t>Commission</t>
  </si>
  <si>
    <t>Maintenance</t>
  </si>
  <si>
    <t>Surrender</t>
  </si>
  <si>
    <t>DAC</t>
  </si>
  <si>
    <t>Total</t>
  </si>
  <si>
    <t>Amortization</t>
  </si>
  <si>
    <t>Input</t>
  </si>
  <si>
    <t>Number of policies</t>
  </si>
  <si>
    <t>Account</t>
  </si>
  <si>
    <t>General</t>
  </si>
  <si>
    <t>Yield</t>
  </si>
  <si>
    <t>Deferrable</t>
  </si>
  <si>
    <t>Per Policy</t>
  </si>
  <si>
    <t>Acquistion</t>
  </si>
  <si>
    <t>Defble Acq</t>
  </si>
  <si>
    <t>Actuarial balances</t>
  </si>
  <si>
    <t>Policies</t>
  </si>
  <si>
    <t>Deaths</t>
  </si>
  <si>
    <t>Surrenders</t>
  </si>
  <si>
    <t>Census</t>
  </si>
  <si>
    <t>End of year</t>
  </si>
  <si>
    <t>Non-Commission</t>
  </si>
  <si>
    <t>Expenses</t>
  </si>
  <si>
    <t>DAC rollforward</t>
  </si>
  <si>
    <t>Deferrals</t>
  </si>
  <si>
    <t>Death</t>
  </si>
  <si>
    <t>Benefits</t>
  </si>
  <si>
    <t xml:space="preserve">Premium </t>
  </si>
  <si>
    <t>Tax</t>
  </si>
  <si>
    <t>Per Unit</t>
  </si>
  <si>
    <t>Net Inv</t>
  </si>
  <si>
    <t>Cash Value</t>
  </si>
  <si>
    <t>Discount</t>
  </si>
  <si>
    <t>Reserve</t>
  </si>
  <si>
    <t>Interest</t>
  </si>
  <si>
    <t>Average units per policy</t>
  </si>
  <si>
    <t>Units</t>
  </si>
  <si>
    <t>Net Premium Determination</t>
  </si>
  <si>
    <t>Factor</t>
  </si>
  <si>
    <t>PV Premium</t>
  </si>
  <si>
    <t>Interest Rate</t>
  </si>
  <si>
    <t>B.O.Y.</t>
  </si>
  <si>
    <t>.EO.Y.</t>
  </si>
  <si>
    <t>PV</t>
  </si>
  <si>
    <t>Number of</t>
  </si>
  <si>
    <t>Unit</t>
  </si>
  <si>
    <t>Traditional non-participating life insurance product</t>
  </si>
  <si>
    <t>PV Total</t>
  </si>
  <si>
    <t>Total Present Value</t>
  </si>
  <si>
    <t>As a percent of PV Premiums</t>
  </si>
  <si>
    <t>Net premium / Gross premium</t>
  </si>
  <si>
    <t>Reserve calculation (retrospective method)</t>
  </si>
  <si>
    <t>Net Premium</t>
  </si>
  <si>
    <t>Required</t>
  </si>
  <si>
    <t>E.O.Y.</t>
  </si>
  <si>
    <t>As of issue date</t>
  </si>
  <si>
    <t>25% additional mortality in year 5</t>
  </si>
  <si>
    <t>25% additional mortality in year 5 and @EOY5, assumed 5% additional mortality in years 6+</t>
  </si>
  <si>
    <t>Sum</t>
  </si>
  <si>
    <t>During</t>
  </si>
  <si>
    <t>of deferrable</t>
  </si>
  <si>
    <t>Percent</t>
  </si>
  <si>
    <t>expenses</t>
  </si>
  <si>
    <t>from original schedule</t>
  </si>
  <si>
    <t>newly calculated</t>
  </si>
  <si>
    <t>Notes</t>
  </si>
  <si>
    <t>of DAC at</t>
  </si>
  <si>
    <t>end of year 5</t>
  </si>
  <si>
    <t>from second schedule</t>
  </si>
  <si>
    <t>Per Death</t>
  </si>
  <si>
    <t>Claims</t>
  </si>
  <si>
    <t xml:space="preserve">PV </t>
  </si>
  <si>
    <t>Reserve calculation (prospective method)</t>
  </si>
  <si>
    <t>Policy</t>
  </si>
  <si>
    <t xml:space="preserve">PV of </t>
  </si>
  <si>
    <t>Net Premiums</t>
  </si>
  <si>
    <t>PV of Claims</t>
  </si>
  <si>
    <t xml:space="preserve">E.O.Y </t>
  </si>
  <si>
    <t xml:space="preserve">DAC True Up </t>
  </si>
  <si>
    <t xml:space="preserve">at end of </t>
  </si>
  <si>
    <t>year 5</t>
  </si>
  <si>
    <t>Extra Amortization of</t>
  </si>
  <si>
    <t>Mortality PAD</t>
  </si>
  <si>
    <t>Surrender PAD</t>
  </si>
  <si>
    <t>Discount Rate PAD</t>
  </si>
  <si>
    <t>DAC Amortization Ratio</t>
  </si>
  <si>
    <t>B.O.Y</t>
  </si>
  <si>
    <t>Capitalization</t>
  </si>
  <si>
    <t>Reserve calculation</t>
  </si>
  <si>
    <t>Original E.O.Y</t>
  </si>
  <si>
    <t>Revised E.O.Y</t>
  </si>
  <si>
    <t>Revised E.O.Y.</t>
  </si>
  <si>
    <t>N/A</t>
  </si>
  <si>
    <t>Assume modified retrospective transition as of beginning of year 7</t>
  </si>
  <si>
    <t xml:space="preserve">Transition </t>
  </si>
  <si>
    <t>Reserve calculation before OCI (retrospective method)</t>
  </si>
  <si>
    <t>Reserve calculation before OCI (prospective method)</t>
  </si>
  <si>
    <t>Reserve calculation including OCI (prospective method)</t>
  </si>
  <si>
    <t xml:space="preserve">AOCI </t>
  </si>
  <si>
    <t>Amount</t>
  </si>
  <si>
    <t xml:space="preserve">Current </t>
  </si>
  <si>
    <t>Discount Rate</t>
  </si>
  <si>
    <t>of DAC</t>
  </si>
  <si>
    <t>Reserve calculation (retrospective method) w/PADed Decrements</t>
  </si>
  <si>
    <t>Reserve progression at expected assumptions (i.e., using best estimate decrements before PADs)</t>
  </si>
  <si>
    <t>E.O.Y Reserve @</t>
  </si>
  <si>
    <t>Best Estimate Decrements</t>
  </si>
  <si>
    <t>Decrements</t>
  </si>
  <si>
    <t>Best Estimate</t>
  </si>
  <si>
    <t>E.O.Y Units @</t>
  </si>
  <si>
    <t>E.O.Y. Units@</t>
  </si>
  <si>
    <t>DAC progression at expected assumptions (i.e., using best estimate decrements before PADs)</t>
  </si>
  <si>
    <t>E.O.Y DAC @</t>
  </si>
  <si>
    <t>Carryover</t>
  </si>
  <si>
    <t>Basis</t>
  </si>
  <si>
    <t>Remeasurement gain/loss:</t>
  </si>
  <si>
    <t>BOY Reserve</t>
  </si>
  <si>
    <t>(original)</t>
  </si>
  <si>
    <t>(after unlock)</t>
  </si>
  <si>
    <t>Remeasurement</t>
  </si>
  <si>
    <t>Gain/Loss</t>
  </si>
  <si>
    <t>Alternative DAC amortization approach</t>
  </si>
  <si>
    <t>Remaining</t>
  </si>
  <si>
    <t xml:space="preserve">DAC at </t>
  </si>
  <si>
    <t>End of year 4</t>
  </si>
  <si>
    <t>recalculated</t>
  </si>
  <si>
    <t>check</t>
  </si>
  <si>
    <t>Decrements including PAD</t>
  </si>
  <si>
    <t>Table 17-1: Assumptions for deriving reserves and DAC prior to ASU 2018-12</t>
  </si>
  <si>
    <t>Table 17-3 DAC prior to ASU 2018-12, revised for year 5 mortality event</t>
  </si>
  <si>
    <t>Table 17-4 Calculating a net premium ratio at transition to ASU 2018-12</t>
  </si>
  <si>
    <t>Beg of year</t>
  </si>
  <si>
    <t>Table 17-2 Reserves prior to ASU 2018-12, revised for year 5 mortality event</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</si>
  <si>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</si>
  <si>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</si>
  <si>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</si>
  <si>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</si>
  <si>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</si>
  <si>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</si>
  <si>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</si>
  <si>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</si>
  <si>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</si>
  <si>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</si>
  <si>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</si>
  <si>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There are level premiums.</t>
  </si>
  <si>
    <t>There is a scheduled cash value to the policyholder on policy surrender.</t>
  </si>
  <si>
    <t>Nonparticipating Traditional Life Insurance - Transition</t>
  </si>
  <si>
    <t>Pre-LDTI</t>
  </si>
  <si>
    <t xml:space="preserve"> Scenario</t>
  </si>
  <si>
    <t>"Input" contains the assumptions when the sample policies were originally sold as well as an assumed mortality event in year 5 and subsequent revision to future mortality assumptions</t>
  </si>
  <si>
    <t xml:space="preserve">"Actuarial balances" shows the development of in-force data and actuarial balances under ASU 2018-12 following the flow of experience and assumption updates.  </t>
  </si>
  <si>
    <t>"Input - Assumptions pre-LDTI" contains additional assumptions needed to prepare the actuarial balances that would have been applicable prior to the transition to ASU 2018-12.  Only the ASU 2018-12 balances from the scenario with the revised mortality assumptions would actually be reported.</t>
  </si>
  <si>
    <t xml:space="preserve">"Actuarial balances pre-LDTI" shows the development of the actuarial balances under guidance that applied prior to ASU 2018-12.  </t>
  </si>
  <si>
    <t>"Modified Retro Transition" shows the movement from the actuarial balances through the adoption of ASU 2018-12 and the subsequent measurement thereafter.</t>
  </si>
  <si>
    <t>Product Characteristics</t>
  </si>
  <si>
    <t>The product modeled is a 10-year endowment policy.  There is a fixed face amount, payable at death or the end of the endowment period, if the policyholder survives.</t>
  </si>
  <si>
    <t>This is exactly the same product modeled as in Chapter 5.</t>
  </si>
  <si>
    <t>For simplicity, dividends paid to shareholders are assumed to be the full amount of GAAP profits earned during the period.</t>
  </si>
  <si>
    <t>Premiums, commissions, acquisition and maintenance expenses are assumed to be paid at the beginning of the policy year.</t>
  </si>
  <si>
    <t>Deaths, claim expenses, and lapses are assumed to occur at the end of the policy year.</t>
  </si>
  <si>
    <r>
      <t xml:space="preserve">The example builds on an example presented in chapter 5 and developed in the spreadsheet </t>
    </r>
    <r>
      <rPr>
        <i/>
        <sz val="11"/>
        <rFont val="Calibri"/>
        <family val="2"/>
        <scheme val="minor"/>
      </rPr>
      <t xml:space="preserve">Chapter 5 Nonpar life example with unlocking.  </t>
    </r>
    <r>
      <rPr>
        <sz val="11"/>
        <rFont val="Calibri"/>
        <family val="2"/>
        <scheme val="minor"/>
      </rPr>
      <t xml:space="preserve"> </t>
    </r>
  </si>
  <si>
    <t>Hard-coded / assumption inputs have text colored blue.</t>
  </si>
  <si>
    <t>Formulas have text colored black.</t>
  </si>
  <si>
    <t>The modeled policies represent a cohort of 1,000 policies issued.  Each policy is insured for 100 units, where each unit equals 1,000 of face amount.</t>
  </si>
  <si>
    <t>The intent of this spreadsheet is to show the special computations necessary as of the transition date of adopting ASU 2018-12.</t>
  </si>
  <si>
    <t>Modeling Scenarios</t>
  </si>
  <si>
    <t>Version: 2024 04</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</si>
  <si>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</si>
  <si>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This spreadsheet is not intended to be a financial reporting or valuation system.  It was developed solely for the purpose of constructing numerical examples for the text and is not suitable for any other application.</t>
  </si>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</sst>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_);[Red]\(&quot;$&quot;#,##0.00\)"/>
    <numFmt numFmtId="43" formatCode="_(* #,##0.00_);_(* \(#,##0.00\);_(* &quot;-&quot;??_);_(@_)"/>
    <numFmt numFmtId="164" formatCode="0.0%"/>
    <numFmt numFmtId="165" formatCode="_(* #,##0_);_(* \(#,##0\);_(* &quot;-&quot;??_);_(@_)"/>
    <numFmt numFmtId="166" formatCode="_(* #,##0.0_);_(* \(#,##0.0\);_(* &quot;-&quot;??_);_(@_)"/>
    <numFmt numFmtId="167" formatCode="_(* #,##0.0000_);_(* \(#,##0.0000\);_(* &quot;-&quot;??_);_(@_)"/>
    <numFmt numFmtId="168" formatCode="_(* #,##0_);_(* \(#,##0\);_(* &quot;-&quot;?_);_(@_)"/>
    <numFmt numFmtId="169" formatCode="0.0000"/>
    <numFmt numFmtId="170" formatCode="0.00000"/>
    <numFmt numFmtId="171" formatCode="0.000%"/>
  </numFmts>
  <fonts count="13" x14ac:knownFonts="1">
    <font>
      <sz val="11"/>
      <color theme="1"/>
      <name val="Calibri"/>
      <family val="2"/>
      <scheme val="minor"/>
    </font>
    <font>
      <sz val="11"/>
      <color theme="1"/>
      <name val="Calibri"/>
      <family val="2"/>
      <scheme val="minor"/>
    </font>
    <font>
      <b/>
      <sz val="11"/>
      <color theme="1"/>
      <name val="Calibri"/>
      <family val="2"/>
      <scheme val="minor"/>
    </font>
    <font>
      <u/>
      <sz val="11"/>
      <color theme="1"/>
      <name val="Calibri"/>
      <family val="2"/>
      <scheme val="minor"/>
    </font>
    <font>
      <sz val="10"/>
      <name val="Arial"/>
      <family val="2"/>
    </font>
    <font>
      <b/>
      <i/>
      <sz val="11"/>
      <color rgb="FFFF0000"/>
      <name val="Calibri"/>
      <family val="2"/>
      <scheme val="minor"/>
    </font>
    <font>
      <sz val="11"/>
      <color rgb="FF0070C0"/>
      <name val="Calibri"/>
      <family val="2"/>
      <scheme val="minor"/>
    </font>
    <font>
      <b/>
      <sz val="11"/>
      <color rgb="FF00B0F0"/>
      <name val="Calibri"/>
      <family val="2"/>
      <scheme val="minor"/>
    </font>
    <font>
      <sz val="11"/>
      <name val="Calibri"/>
      <family val="2"/>
      <scheme val="minor"/>
    </font>
    <font>
      <b/>
      <sz val="11"/>
      <color rgb="FFFF0000"/>
      <name val="Calibri"/>
      <family val="2"/>
      <scheme val="minor"/>
    </font>
    <font>
      <b/>
      <sz val="11"/>
      <name val="Calibri"/>
      <family val="2"/>
      <scheme val="minor"/>
    </font>
    <font>
      <i/>
      <sz val="11"/>
      <name val="Calibri"/>
      <family val="2"/>
      <scheme val="minor"/>
    </font>
    <font>
      <sz val="10"/>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cellStyleXfs>
  <cellXfs count="54">
    <xf numFmtId="0" fontId="0" fillId="0" borderId="0" xfId="0"/>
    <xf numFmtId="0" fontId="2" fillId="0" borderId="0" xfId="0" applyFont="1"/>
    <xf numFmtId="0" fontId="3" fillId="0" borderId="0" xfId="0" applyFont="1" applyAlignment="1">
      <alignment horizontal="right"/>
    </xf>
    <xf numFmtId="0" fontId="3" fillId="0" borderId="0" xfId="0" applyFont="1"/>
    <xf numFmtId="0" fontId="2" fillId="0" borderId="0" xfId="0" quotePrefix="1" applyFont="1"/>
    <xf numFmtId="0" fontId="3" fillId="0" borderId="0" xfId="0" applyFont="1" applyAlignment="1">
      <alignment horizontal="left"/>
    </xf>
    <xf numFmtId="0" fontId="5" fillId="0" borderId="0" xfId="0" applyFont="1"/>
    <xf numFmtId="165" fontId="6" fillId="0" borderId="0" xfId="1" applyNumberFormat="1" applyFont="1"/>
    <xf numFmtId="43" fontId="6" fillId="0" borderId="0" xfId="1" applyFont="1"/>
    <xf numFmtId="10" fontId="6" fillId="0" borderId="0" xfId="2" applyNumberFormat="1" applyFont="1"/>
    <xf numFmtId="164" fontId="6" fillId="0" borderId="0" xfId="2" applyNumberFormat="1" applyFont="1"/>
    <xf numFmtId="170" fontId="6" fillId="0" borderId="0" xfId="0" applyNumberFormat="1" applyFont="1"/>
    <xf numFmtId="9" fontId="6" fillId="0" borderId="0" xfId="0" applyNumberFormat="1" applyFont="1"/>
    <xf numFmtId="10" fontId="6" fillId="0" borderId="0" xfId="0" applyNumberFormat="1" applyFont="1"/>
    <xf numFmtId="170" fontId="7" fillId="0" borderId="0" xfId="0" applyNumberFormat="1" applyFont="1"/>
    <xf numFmtId="43" fontId="8" fillId="0" borderId="0" xfId="1" applyFont="1"/>
    <xf numFmtId="10" fontId="8" fillId="0" borderId="0" xfId="2" applyNumberFormat="1" applyFont="1"/>
    <xf numFmtId="164" fontId="8" fillId="0" borderId="0" xfId="2" applyNumberFormat="1" applyFont="1"/>
    <xf numFmtId="165" fontId="8" fillId="0" borderId="0" xfId="1" applyNumberFormat="1" applyFont="1"/>
    <xf numFmtId="170" fontId="8" fillId="0" borderId="0" xfId="0" applyNumberFormat="1" applyFont="1"/>
    <xf numFmtId="0" fontId="1" fillId="0" borderId="0" xfId="0" applyFont="1"/>
    <xf numFmtId="0" fontId="9" fillId="0" borderId="0" xfId="3" applyFont="1"/>
    <xf numFmtId="0" fontId="8" fillId="0" borderId="0" xfId="3" applyFont="1"/>
    <xf numFmtId="0" fontId="10" fillId="0" borderId="0" xfId="3" applyFont="1"/>
    <xf numFmtId="0" fontId="6" fillId="0" borderId="0" xfId="3" applyFont="1"/>
    <xf numFmtId="0" fontId="8" fillId="0" borderId="0" xfId="3" quotePrefix="1" applyFont="1"/>
    <xf numFmtId="10" fontId="1" fillId="0" borderId="0" xfId="2" applyNumberFormat="1" applyFont="1"/>
    <xf numFmtId="165" fontId="1" fillId="0" borderId="0" xfId="1" applyNumberFormat="1" applyFont="1"/>
    <xf numFmtId="0" fontId="1" fillId="0" borderId="0" xfId="0" applyFont="1" applyAlignment="1">
      <alignment horizontal="right"/>
    </xf>
    <xf numFmtId="0" fontId="1" fillId="0" borderId="0" xfId="0" applyFont="1" applyAlignment="1">
      <alignment horizontal="center"/>
    </xf>
    <xf numFmtId="43" fontId="1" fillId="0" borderId="0" xfId="1" applyFont="1"/>
    <xf numFmtId="164" fontId="1" fillId="0" borderId="0" xfId="2" applyNumberFormat="1" applyFont="1"/>
    <xf numFmtId="167" fontId="1" fillId="0" borderId="0" xfId="1" applyNumberFormat="1" applyFont="1"/>
    <xf numFmtId="164" fontId="1" fillId="0" borderId="0" xfId="0" applyNumberFormat="1" applyFont="1"/>
    <xf numFmtId="170" fontId="1" fillId="0" borderId="0" xfId="0" applyNumberFormat="1" applyFont="1"/>
    <xf numFmtId="166" fontId="1" fillId="0" borderId="0" xfId="1" applyNumberFormat="1" applyFont="1"/>
    <xf numFmtId="168" fontId="1" fillId="0" borderId="0" xfId="0" applyNumberFormat="1" applyFont="1"/>
    <xf numFmtId="171" fontId="1" fillId="0" borderId="0" xfId="2" applyNumberFormat="1" applyFont="1"/>
    <xf numFmtId="9" fontId="1" fillId="0" borderId="0" xfId="2" applyFont="1"/>
    <xf numFmtId="10" fontId="1" fillId="0" borderId="0" xfId="0" applyNumberFormat="1" applyFont="1"/>
    <xf numFmtId="169" fontId="1" fillId="0" borderId="0" xfId="0" applyNumberFormat="1" applyFont="1" applyAlignment="1">
      <alignment horizontal="right"/>
    </xf>
    <xf numFmtId="169" fontId="1" fillId="0" borderId="0" xfId="0" applyNumberFormat="1" applyFont="1"/>
    <xf numFmtId="165" fontId="1" fillId="0" borderId="0" xfId="0" applyNumberFormat="1" applyFont="1"/>
    <xf numFmtId="8" fontId="1" fillId="0" borderId="0" xfId="0" applyNumberFormat="1" applyFont="1"/>
    <xf numFmtId="43" fontId="1" fillId="0" borderId="0" xfId="0" applyNumberFormat="1" applyFont="1"/>
    <xf numFmtId="166" fontId="1" fillId="0" borderId="0" xfId="0" applyNumberFormat="1" applyFont="1"/>
    <xf numFmtId="3" fontId="1" fillId="0" borderId="0" xfId="0" applyNumberFormat="1" applyFont="1"/>
    <xf numFmtId="169" fontId="1" fillId="2" borderId="0" xfId="0" applyNumberFormat="1" applyFont="1" applyFill="1" applyAlignment="1">
      <alignment horizontal="right"/>
    </xf>
    <xf numFmtId="171" fontId="1" fillId="0" borderId="0" xfId="1" applyNumberFormat="1" applyFont="1"/>
    <xf numFmtId="171" fontId="1" fillId="0" borderId="0" xfId="0" applyNumberFormat="1" applyFont="1"/>
    <xf numFmtId="168" fontId="1" fillId="2" borderId="0" xfId="0" applyNumberFormat="1" applyFont="1" applyFill="1"/>
    <xf numFmtId="165" fontId="1" fillId="2" borderId="0" xfId="1" applyNumberFormat="1" applyFont="1" applyFill="1"/>
    <xf numFmtId="0" fontId="12" fillId="0" borderId="0" xfId="3" applyFont="1"/>
    <xf numFmtId="0" fontId="1" fillId="0" borderId="0" xfId="0" quotePrefix="1" applyFont="1" applyAlignment="1">
      <alignment horizontal="center"/>
    </xf>
  </cellXfs>
  <cellStyles count="4">
    <cellStyle name="Comma" xfId="1" builtinId="3"/>
    <cellStyle name="Normal" xfId="0" builtinId="0"/>
    <cellStyle name="Normal 12" xfId="3" xr:uid="{AAA4A6D2-B3E0-4BDD-9468-407290A5D8FA}"/>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Units@" TargetMode="External"/><Relationship Id="rId1" Type="http://schemas.openxmlformats.org/officeDocument/2006/relationships/hyperlink" Target="mailto:Unit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74FA9-0E13-4773-B2C4-BCC55FBEC7D2}">
  <dimension ref="A1:W49"/>
  <sheetViews>
    <sheetView tabSelected="1" workbookViewId="0">
      <selection activeCell="AF12" sqref="AF12"/>
    </sheetView>
  </sheetViews>
  <sheetFormatPr defaultColWidth="8.85546875" defaultRowHeight="15" x14ac:dyDescent="0.25"/>
  <cols>
    <col min="1" max="3" width="1.85546875" style="22" customWidth="1"/>
    <col min="4" max="16384" width="8.85546875" style="22"/>
  </cols>
  <sheetData>
    <row r="1" spans="1:23" x14ac:dyDescent="0.25">
      <c r="A1" s="21" t="s">
        <v>139</v>
      </c>
      <c r="M1" s="20" t="s">
        <v>172</v>
      </c>
    </row>
    <row r="2" spans="1:23" ht="13.35" customHeight="1" x14ac:dyDescent="0.25">
      <c r="A2" s="6" t="s">
        <v>140</v>
      </c>
    </row>
    <row r="3" spans="1:23" x14ac:dyDescent="0.25">
      <c r="A3" s="23" t="s">
        <v>141</v>
      </c>
    </row>
    <row r="4" spans="1:23" x14ac:dyDescent="0.25">
      <c r="A4" s="24" t="s">
        <v>152</v>
      </c>
    </row>
    <row r="5" spans="1:23" x14ac:dyDescent="0.25">
      <c r="A5" s="21"/>
    </row>
    <row r="6" spans="1:23" ht="13.35" customHeight="1" x14ac:dyDescent="0.25">
      <c r="A6" s="1" t="s">
        <v>142</v>
      </c>
    </row>
    <row r="7" spans="1:23" ht="13.35" customHeight="1" x14ac:dyDescent="0.25">
      <c r="A7" s="1"/>
    </row>
    <row r="8" spans="1:23" x14ac:dyDescent="0.25">
      <c r="B8" s="22" t="s">
        <v>143</v>
      </c>
    </row>
    <row r="10" spans="1:23" x14ac:dyDescent="0.25">
      <c r="B10" s="22" t="s">
        <v>144</v>
      </c>
    </row>
    <row r="11" spans="1:23" x14ac:dyDescent="0.25">
      <c r="B11" s="22" t="s">
        <v>145</v>
      </c>
    </row>
    <row r="12" spans="1:23" x14ac:dyDescent="0.25">
      <c r="B12" s="22" t="s">
        <v>146</v>
      </c>
    </row>
    <row r="14" spans="1:23" s="52" customFormat="1" ht="13.35" customHeight="1" x14ac:dyDescent="0.25">
      <c r="A14" s="22"/>
      <c r="B14" s="22" t="s">
        <v>173</v>
      </c>
      <c r="C14" s="22"/>
      <c r="D14" s="22"/>
      <c r="E14" s="22"/>
      <c r="F14" s="22"/>
      <c r="G14" s="22"/>
      <c r="H14" s="22"/>
      <c r="I14" s="22"/>
      <c r="J14" s="22"/>
      <c r="K14" s="22"/>
      <c r="L14" s="22"/>
      <c r="M14" s="22"/>
      <c r="N14" s="22"/>
      <c r="O14" s="22"/>
      <c r="P14" s="22"/>
      <c r="Q14" s="22"/>
      <c r="R14" s="22"/>
      <c r="S14" s="22"/>
      <c r="T14" s="22"/>
      <c r="U14" s="22"/>
      <c r="V14" s="22"/>
      <c r="W14" s="22"/>
    </row>
    <row r="15" spans="1:23" s="52" customFormat="1" ht="13.35" customHeight="1" x14ac:dyDescent="0.25">
      <c r="A15" s="22"/>
      <c r="B15" s="22" t="s">
        <v>174</v>
      </c>
      <c r="C15" s="22"/>
      <c r="D15" s="22"/>
      <c r="E15" s="22"/>
      <c r="F15" s="22"/>
      <c r="G15" s="22"/>
      <c r="H15" s="22"/>
      <c r="I15" s="22"/>
      <c r="J15" s="22"/>
      <c r="K15" s="22"/>
      <c r="L15" s="22"/>
      <c r="M15" s="22"/>
      <c r="N15" s="22"/>
      <c r="O15" s="22"/>
      <c r="P15" s="22"/>
      <c r="Q15" s="22"/>
      <c r="R15" s="22"/>
      <c r="S15" s="22"/>
      <c r="T15" s="22"/>
      <c r="U15" s="22"/>
      <c r="V15" s="22"/>
      <c r="W15" s="22"/>
    </row>
    <row r="16" spans="1:23" s="52" customFormat="1" ht="13.35" customHeight="1" x14ac:dyDescent="0.25">
      <c r="A16" s="22"/>
      <c r="B16" s="22" t="s">
        <v>175</v>
      </c>
      <c r="C16" s="22"/>
      <c r="D16" s="22"/>
      <c r="E16" s="22"/>
      <c r="F16" s="22"/>
      <c r="G16" s="22"/>
      <c r="H16" s="22"/>
      <c r="I16" s="22"/>
      <c r="J16" s="22"/>
      <c r="K16" s="22"/>
      <c r="L16" s="22"/>
      <c r="M16" s="22"/>
      <c r="N16" s="22"/>
      <c r="O16" s="22"/>
      <c r="P16" s="22"/>
      <c r="Q16" s="22"/>
      <c r="R16" s="22"/>
      <c r="S16" s="22"/>
      <c r="T16" s="22"/>
      <c r="U16" s="22"/>
      <c r="V16" s="22"/>
      <c r="W16" s="22"/>
    </row>
    <row r="17" spans="1:23" s="52" customFormat="1" ht="13.35" customHeight="1" x14ac:dyDescent="0.25">
      <c r="A17" s="22"/>
      <c r="B17" s="22" t="s">
        <v>176</v>
      </c>
      <c r="C17" s="22"/>
      <c r="D17" s="22"/>
      <c r="E17" s="22"/>
      <c r="F17" s="22"/>
      <c r="G17" s="22"/>
      <c r="H17" s="22"/>
      <c r="I17" s="22"/>
      <c r="J17" s="22"/>
      <c r="K17" s="22"/>
      <c r="L17" s="22"/>
      <c r="M17" s="22"/>
      <c r="N17" s="22"/>
      <c r="O17" s="22"/>
      <c r="P17" s="22"/>
      <c r="Q17" s="22"/>
      <c r="R17" s="22"/>
      <c r="S17" s="22"/>
      <c r="T17" s="22"/>
      <c r="U17" s="22"/>
      <c r="V17" s="22"/>
      <c r="W17" s="22"/>
    </row>
    <row r="19" spans="1:23" x14ac:dyDescent="0.25">
      <c r="B19" s="23" t="s">
        <v>147</v>
      </c>
    </row>
    <row r="21" spans="1:23" x14ac:dyDescent="0.25">
      <c r="C21" s="22" t="s">
        <v>148</v>
      </c>
    </row>
    <row r="22" spans="1:23" x14ac:dyDescent="0.25">
      <c r="D22" s="24" t="s">
        <v>167</v>
      </c>
    </row>
    <row r="23" spans="1:23" x14ac:dyDescent="0.25">
      <c r="D23" s="22" t="s">
        <v>168</v>
      </c>
    </row>
    <row r="24" spans="1:23" x14ac:dyDescent="0.25">
      <c r="D24" s="22" t="s">
        <v>149</v>
      </c>
    </row>
    <row r="26" spans="1:23" ht="13.35" customHeight="1" x14ac:dyDescent="0.25">
      <c r="B26" s="23" t="s">
        <v>160</v>
      </c>
      <c r="I26" s="20"/>
      <c r="J26" s="20"/>
      <c r="K26" s="20"/>
      <c r="L26" s="20"/>
      <c r="M26" s="20"/>
    </row>
    <row r="27" spans="1:23" ht="13.35" customHeight="1" x14ac:dyDescent="0.25">
      <c r="B27" s="23"/>
      <c r="I27" s="20"/>
      <c r="J27" s="20"/>
      <c r="K27" s="20"/>
      <c r="L27" s="20"/>
      <c r="M27" s="20"/>
    </row>
    <row r="28" spans="1:23" ht="13.35" customHeight="1" x14ac:dyDescent="0.25">
      <c r="C28" s="22" t="s">
        <v>161</v>
      </c>
      <c r="I28" s="20"/>
      <c r="J28" s="20"/>
      <c r="K28" s="20"/>
      <c r="L28" s="20"/>
      <c r="M28" s="20"/>
    </row>
    <row r="29" spans="1:23" ht="13.35" customHeight="1" x14ac:dyDescent="0.25">
      <c r="C29" s="22" t="s">
        <v>150</v>
      </c>
      <c r="I29" s="20"/>
      <c r="J29" s="20"/>
      <c r="K29" s="20"/>
      <c r="L29" s="20"/>
      <c r="M29" s="20"/>
    </row>
    <row r="30" spans="1:23" ht="13.35" customHeight="1" x14ac:dyDescent="0.25">
      <c r="C30" s="22" t="s">
        <v>151</v>
      </c>
      <c r="I30" s="20"/>
      <c r="J30" s="20"/>
      <c r="K30" s="20"/>
      <c r="L30" s="20"/>
      <c r="M30" s="20"/>
    </row>
    <row r="31" spans="1:23" ht="13.35" customHeight="1" x14ac:dyDescent="0.25">
      <c r="C31" s="22" t="s">
        <v>169</v>
      </c>
      <c r="I31" s="20"/>
      <c r="J31" s="20"/>
      <c r="K31" s="20"/>
      <c r="L31" s="20"/>
      <c r="M31" s="20"/>
    </row>
    <row r="32" spans="1:23" ht="13.35" customHeight="1" x14ac:dyDescent="0.25">
      <c r="C32" s="22" t="s">
        <v>162</v>
      </c>
      <c r="I32" s="20"/>
      <c r="J32" s="20"/>
      <c r="K32" s="20"/>
      <c r="L32" s="20"/>
      <c r="M32" s="20"/>
    </row>
    <row r="33" spans="2:13" ht="13.35" customHeight="1" x14ac:dyDescent="0.25">
      <c r="C33" s="22" t="s">
        <v>170</v>
      </c>
      <c r="I33" s="20"/>
      <c r="J33" s="20"/>
      <c r="K33" s="20"/>
      <c r="L33" s="20"/>
      <c r="M33" s="20"/>
    </row>
    <row r="34" spans="2:13" ht="13.35" customHeight="1" x14ac:dyDescent="0.25">
      <c r="I34" s="20"/>
      <c r="J34" s="20"/>
      <c r="K34" s="20"/>
      <c r="L34" s="20"/>
      <c r="M34" s="20"/>
    </row>
    <row r="35" spans="2:13" ht="13.35" customHeight="1" x14ac:dyDescent="0.25">
      <c r="B35" s="23" t="s">
        <v>171</v>
      </c>
      <c r="I35" s="20"/>
      <c r="J35" s="20"/>
      <c r="K35" s="20"/>
      <c r="L35" s="20"/>
      <c r="M35" s="20"/>
    </row>
    <row r="36" spans="2:13" ht="13.35" customHeight="1" x14ac:dyDescent="0.25">
      <c r="I36" s="20"/>
      <c r="J36" s="20"/>
      <c r="K36" s="20"/>
      <c r="L36" s="20"/>
      <c r="M36" s="20"/>
    </row>
    <row r="37" spans="2:13" ht="13.35" customHeight="1" x14ac:dyDescent="0.25">
      <c r="C37" s="25" t="s">
        <v>163</v>
      </c>
      <c r="I37" s="20"/>
      <c r="J37" s="20"/>
      <c r="K37" s="20"/>
      <c r="L37" s="20"/>
      <c r="M37" s="20"/>
    </row>
    <row r="38" spans="2:13" ht="13.35" customHeight="1" x14ac:dyDescent="0.25">
      <c r="C38" s="25" t="s">
        <v>164</v>
      </c>
      <c r="I38" s="20"/>
      <c r="J38" s="20"/>
      <c r="K38" s="20"/>
      <c r="L38" s="20"/>
      <c r="M38" s="20"/>
    </row>
    <row r="39" spans="2:13" ht="13.35" customHeight="1" x14ac:dyDescent="0.25">
      <c r="C39" s="25" t="s">
        <v>165</v>
      </c>
      <c r="D39" s="25"/>
      <c r="I39" s="20"/>
      <c r="J39" s="20"/>
      <c r="K39" s="20"/>
      <c r="L39" s="20"/>
      <c r="M39" s="20"/>
    </row>
    <row r="40" spans="2:13" ht="13.35" customHeight="1" x14ac:dyDescent="0.25">
      <c r="D40" s="25"/>
      <c r="I40" s="20"/>
      <c r="J40" s="20"/>
      <c r="K40" s="20"/>
      <c r="L40" s="20"/>
      <c r="M40" s="20"/>
    </row>
    <row r="41" spans="2:13" ht="13.35" customHeight="1" x14ac:dyDescent="0.25">
      <c r="B41" s="23" t="s">
        <v>154</v>
      </c>
      <c r="I41" s="20"/>
      <c r="J41" s="20"/>
      <c r="K41" s="20"/>
      <c r="L41" s="20"/>
      <c r="M41" s="20"/>
    </row>
    <row r="42" spans="2:13" ht="13.35" customHeight="1" x14ac:dyDescent="0.25">
      <c r="I42" s="20"/>
      <c r="J42" s="20"/>
      <c r="K42" s="20"/>
      <c r="L42" s="20"/>
      <c r="M42" s="20"/>
    </row>
    <row r="43" spans="2:13" ht="13.35" customHeight="1" x14ac:dyDescent="0.25">
      <c r="C43" s="22" t="s">
        <v>166</v>
      </c>
      <c r="I43" s="20"/>
      <c r="J43" s="20"/>
      <c r="K43" s="20"/>
      <c r="L43" s="20"/>
      <c r="M43" s="20"/>
    </row>
    <row r="44" spans="2:13" ht="13.35" customHeight="1" x14ac:dyDescent="0.25">
      <c r="C44" s="22" t="s">
        <v>155</v>
      </c>
      <c r="D44" s="25"/>
      <c r="I44" s="20"/>
      <c r="J44" s="20"/>
      <c r="K44" s="20"/>
      <c r="L44" s="20"/>
      <c r="M44" s="20"/>
    </row>
    <row r="45" spans="2:13" ht="13.35" customHeight="1" x14ac:dyDescent="0.25">
      <c r="C45" s="22" t="s">
        <v>156</v>
      </c>
      <c r="D45" s="25"/>
      <c r="I45" s="20"/>
      <c r="J45" s="20"/>
      <c r="K45" s="20"/>
      <c r="L45" s="20"/>
      <c r="M45" s="20"/>
    </row>
    <row r="46" spans="2:13" ht="13.35" customHeight="1" x14ac:dyDescent="0.25">
      <c r="C46" s="22" t="s">
        <v>157</v>
      </c>
      <c r="D46" s="25"/>
      <c r="I46" s="20"/>
      <c r="J46" s="20"/>
      <c r="K46" s="20"/>
      <c r="L46" s="20"/>
      <c r="M46" s="20"/>
    </row>
    <row r="47" spans="2:13" ht="13.35" customHeight="1" x14ac:dyDescent="0.25">
      <c r="C47" s="22" t="s">
        <v>158</v>
      </c>
      <c r="I47" s="20"/>
      <c r="J47" s="20"/>
      <c r="K47" s="20"/>
      <c r="L47" s="20"/>
      <c r="M47" s="20"/>
    </row>
    <row r="48" spans="2:13" ht="13.35" customHeight="1" x14ac:dyDescent="0.25">
      <c r="C48" s="22" t="s">
        <v>159</v>
      </c>
      <c r="I48" s="20"/>
      <c r="J48" s="20"/>
      <c r="K48" s="20"/>
      <c r="L48" s="20"/>
      <c r="M48" s="20"/>
    </row>
    <row r="49" spans="4:13" ht="13.35" customHeight="1" x14ac:dyDescent="0.25">
      <c r="D49" s="25"/>
      <c r="I49" s="20"/>
      <c r="J49" s="20"/>
      <c r="K49" s="20"/>
      <c r="L49" s="20"/>
      <c r="M49" s="2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9"/>
  <sheetViews>
    <sheetView zoomScaleNormal="100" workbookViewId="0">
      <selection activeCell="A5" sqref="A5"/>
    </sheetView>
  </sheetViews>
  <sheetFormatPr defaultColWidth="8.7109375" defaultRowHeight="15" x14ac:dyDescent="0.25"/>
  <cols>
    <col min="1" max="1" width="30.5703125" style="20" bestFit="1" customWidth="1"/>
    <col min="2" max="2" width="10" style="20" bestFit="1" customWidth="1"/>
    <col min="3" max="4" width="11.85546875" style="20" customWidth="1"/>
    <col min="5" max="5" width="13.42578125" style="20" bestFit="1" customWidth="1"/>
    <col min="6" max="6" width="14" style="20" bestFit="1" customWidth="1"/>
    <col min="7" max="7" width="13.5703125" style="20" bestFit="1" customWidth="1"/>
    <col min="8" max="14" width="11.85546875" style="20" customWidth="1"/>
    <col min="15" max="16384" width="8.7109375" style="20"/>
  </cols>
  <sheetData>
    <row r="1" spans="1:14" x14ac:dyDescent="0.25">
      <c r="A1" s="21" t="s">
        <v>139</v>
      </c>
    </row>
    <row r="2" spans="1:14" x14ac:dyDescent="0.25">
      <c r="A2" s="6" t="s">
        <v>140</v>
      </c>
    </row>
    <row r="3" spans="1:14" x14ac:dyDescent="0.25">
      <c r="A3" s="23" t="s">
        <v>141</v>
      </c>
    </row>
    <row r="4" spans="1:14" x14ac:dyDescent="0.25">
      <c r="A4" s="24" t="s">
        <v>152</v>
      </c>
    </row>
    <row r="6" spans="1:14" x14ac:dyDescent="0.25">
      <c r="A6" s="1" t="s">
        <v>12</v>
      </c>
    </row>
    <row r="8" spans="1:14" x14ac:dyDescent="0.25">
      <c r="A8" s="1" t="s">
        <v>61</v>
      </c>
    </row>
    <row r="10" spans="1:14" x14ac:dyDescent="0.25">
      <c r="A10" s="20" t="s">
        <v>13</v>
      </c>
      <c r="B10" s="7">
        <v>1000</v>
      </c>
    </row>
    <row r="11" spans="1:14" x14ac:dyDescent="0.25">
      <c r="A11" s="20" t="s">
        <v>41</v>
      </c>
      <c r="B11" s="7">
        <v>100</v>
      </c>
      <c r="E11" s="26"/>
    </row>
    <row r="12" spans="1:14" x14ac:dyDescent="0.25">
      <c r="B12" s="27"/>
      <c r="E12" s="26"/>
    </row>
    <row r="13" spans="1:14" x14ac:dyDescent="0.25">
      <c r="B13" s="28"/>
      <c r="C13" s="28" t="s">
        <v>15</v>
      </c>
      <c r="D13" s="28"/>
      <c r="E13" s="28"/>
      <c r="F13" s="28"/>
      <c r="G13" s="28"/>
      <c r="H13" s="28"/>
      <c r="I13" s="28"/>
      <c r="J13" s="28"/>
      <c r="K13" s="28"/>
      <c r="L13" s="28"/>
      <c r="M13" s="28"/>
    </row>
    <row r="14" spans="1:14" x14ac:dyDescent="0.25">
      <c r="A14" s="29"/>
      <c r="B14" s="28"/>
      <c r="C14" s="28" t="s">
        <v>14</v>
      </c>
      <c r="D14" s="28" t="s">
        <v>39</v>
      </c>
      <c r="E14" s="28"/>
      <c r="F14" s="28" t="s">
        <v>17</v>
      </c>
      <c r="G14" s="28" t="s">
        <v>18</v>
      </c>
      <c r="H14" s="28" t="s">
        <v>18</v>
      </c>
      <c r="I14" s="28" t="s">
        <v>18</v>
      </c>
      <c r="J14" s="28" t="s">
        <v>75</v>
      </c>
      <c r="K14" s="28"/>
      <c r="L14" s="28"/>
      <c r="M14" s="28"/>
    </row>
    <row r="15" spans="1:14" x14ac:dyDescent="0.25">
      <c r="A15" s="28" t="s">
        <v>0</v>
      </c>
      <c r="B15" s="28" t="s">
        <v>4</v>
      </c>
      <c r="C15" s="28" t="s">
        <v>36</v>
      </c>
      <c r="D15" s="28" t="s">
        <v>38</v>
      </c>
      <c r="E15" s="28" t="s">
        <v>6</v>
      </c>
      <c r="F15" s="28" t="s">
        <v>6</v>
      </c>
      <c r="G15" s="28" t="s">
        <v>19</v>
      </c>
      <c r="H15" s="28" t="s">
        <v>20</v>
      </c>
      <c r="I15" s="28" t="s">
        <v>7</v>
      </c>
      <c r="J15" s="28" t="s">
        <v>76</v>
      </c>
      <c r="K15" s="28" t="s">
        <v>33</v>
      </c>
      <c r="L15" s="28" t="s">
        <v>2</v>
      </c>
      <c r="M15" s="28" t="s">
        <v>8</v>
      </c>
      <c r="N15" s="28" t="s">
        <v>37</v>
      </c>
    </row>
    <row r="16" spans="1:14" x14ac:dyDescent="0.25">
      <c r="A16" s="2" t="s">
        <v>1</v>
      </c>
      <c r="B16" s="2" t="s">
        <v>35</v>
      </c>
      <c r="C16" s="2" t="s">
        <v>16</v>
      </c>
      <c r="D16" s="2" t="s">
        <v>3</v>
      </c>
      <c r="E16" s="2" t="s">
        <v>3</v>
      </c>
      <c r="F16" s="2" t="s">
        <v>3</v>
      </c>
      <c r="G16" s="2" t="s">
        <v>5</v>
      </c>
      <c r="H16" s="2" t="s">
        <v>5</v>
      </c>
      <c r="I16" s="2" t="s">
        <v>5</v>
      </c>
      <c r="J16" s="2" t="s">
        <v>5</v>
      </c>
      <c r="K16" s="2" t="s">
        <v>34</v>
      </c>
      <c r="L16" s="2" t="s">
        <v>3</v>
      </c>
      <c r="M16" s="2" t="s">
        <v>3</v>
      </c>
      <c r="N16" s="2" t="s">
        <v>35</v>
      </c>
    </row>
    <row r="17" spans="1:14" x14ac:dyDescent="0.25">
      <c r="A17" s="28"/>
      <c r="N17" s="30"/>
    </row>
    <row r="18" spans="1:14" x14ac:dyDescent="0.25">
      <c r="A18" s="28">
        <v>1</v>
      </c>
      <c r="B18" s="8">
        <v>90</v>
      </c>
      <c r="C18" s="9">
        <v>4.2500000000000003E-2</v>
      </c>
      <c r="D18" s="9">
        <v>0.04</v>
      </c>
      <c r="E18" s="10">
        <v>0.75</v>
      </c>
      <c r="F18" s="10">
        <f>E18-E27</f>
        <v>0.7</v>
      </c>
      <c r="G18" s="7">
        <v>200</v>
      </c>
      <c r="H18" s="7">
        <v>100</v>
      </c>
      <c r="I18" s="8">
        <v>35</v>
      </c>
      <c r="J18" s="8">
        <v>1000</v>
      </c>
      <c r="K18" s="9">
        <v>2.2499999999999999E-2</v>
      </c>
      <c r="L18" s="11">
        <v>6.3000000000000003E-4</v>
      </c>
      <c r="M18" s="10">
        <v>0.15</v>
      </c>
      <c r="N18" s="8">
        <v>0</v>
      </c>
    </row>
    <row r="19" spans="1:14" x14ac:dyDescent="0.25">
      <c r="A19" s="28">
        <v>2</v>
      </c>
      <c r="B19" s="8">
        <f>B18</f>
        <v>90</v>
      </c>
      <c r="C19" s="9">
        <v>4.2500000000000003E-2</v>
      </c>
      <c r="D19" s="9">
        <v>0.04</v>
      </c>
      <c r="E19" s="10">
        <v>0.05</v>
      </c>
      <c r="F19" s="10">
        <v>0</v>
      </c>
      <c r="G19" s="7">
        <v>0.04</v>
      </c>
      <c r="H19" s="7">
        <v>0.02</v>
      </c>
      <c r="I19" s="8">
        <f>I18*1.02</f>
        <v>35.700000000000003</v>
      </c>
      <c r="J19" s="8">
        <v>1000</v>
      </c>
      <c r="K19" s="9">
        <v>2.2499999999999999E-2</v>
      </c>
      <c r="L19" s="11">
        <v>7.6999999999999996E-4</v>
      </c>
      <c r="M19" s="10">
        <v>0.12</v>
      </c>
      <c r="N19" s="8">
        <v>100</v>
      </c>
    </row>
    <row r="20" spans="1:14" x14ac:dyDescent="0.25">
      <c r="A20" s="28">
        <v>3</v>
      </c>
      <c r="B20" s="8">
        <f t="shared" ref="B20:B27" si="0">B19</f>
        <v>90</v>
      </c>
      <c r="C20" s="9">
        <v>4.2500000000000003E-2</v>
      </c>
      <c r="D20" s="9">
        <v>0.04</v>
      </c>
      <c r="E20" s="10">
        <v>0.05</v>
      </c>
      <c r="F20" s="10">
        <v>0</v>
      </c>
      <c r="G20" s="7">
        <v>0.04</v>
      </c>
      <c r="H20" s="7">
        <v>0.02</v>
      </c>
      <c r="I20" s="8">
        <f t="shared" ref="I20:I27" si="1">I19*1.02</f>
        <v>36.414000000000001</v>
      </c>
      <c r="J20" s="8">
        <v>1000</v>
      </c>
      <c r="K20" s="9">
        <v>2.2499999999999999E-2</v>
      </c>
      <c r="L20" s="11">
        <v>9.8999999999999999E-4</v>
      </c>
      <c r="M20" s="10">
        <v>0.1</v>
      </c>
      <c r="N20" s="8">
        <v>210</v>
      </c>
    </row>
    <row r="21" spans="1:14" x14ac:dyDescent="0.25">
      <c r="A21" s="28">
        <v>4</v>
      </c>
      <c r="B21" s="8">
        <f t="shared" si="0"/>
        <v>90</v>
      </c>
      <c r="C21" s="9">
        <v>4.2500000000000003E-2</v>
      </c>
      <c r="D21" s="9">
        <v>0.04</v>
      </c>
      <c r="E21" s="10">
        <v>0.05</v>
      </c>
      <c r="F21" s="10">
        <v>0</v>
      </c>
      <c r="G21" s="7">
        <v>0.04</v>
      </c>
      <c r="H21" s="7">
        <v>0.02</v>
      </c>
      <c r="I21" s="8">
        <f t="shared" si="1"/>
        <v>37.14228</v>
      </c>
      <c r="J21" s="8">
        <v>1000</v>
      </c>
      <c r="K21" s="9">
        <v>2.2499999999999999E-2</v>
      </c>
      <c r="L21" s="11">
        <v>1.14E-3</v>
      </c>
      <c r="M21" s="10">
        <v>0.09</v>
      </c>
      <c r="N21" s="8">
        <v>320</v>
      </c>
    </row>
    <row r="22" spans="1:14" x14ac:dyDescent="0.25">
      <c r="A22" s="28">
        <v>5</v>
      </c>
      <c r="B22" s="8">
        <f t="shared" si="0"/>
        <v>90</v>
      </c>
      <c r="C22" s="9">
        <v>4.2500000000000003E-2</v>
      </c>
      <c r="D22" s="9">
        <v>0.04</v>
      </c>
      <c r="E22" s="10">
        <v>0.05</v>
      </c>
      <c r="F22" s="10">
        <v>0</v>
      </c>
      <c r="G22" s="7">
        <v>0.04</v>
      </c>
      <c r="H22" s="7">
        <v>0.02</v>
      </c>
      <c r="I22" s="8">
        <f t="shared" si="1"/>
        <v>37.885125600000002</v>
      </c>
      <c r="J22" s="8">
        <v>1000</v>
      </c>
      <c r="K22" s="9">
        <v>2.2499999999999999E-2</v>
      </c>
      <c r="L22" s="11">
        <v>1.2800000000000001E-3</v>
      </c>
      <c r="M22" s="10">
        <v>0.08</v>
      </c>
      <c r="N22" s="8">
        <v>430</v>
      </c>
    </row>
    <row r="23" spans="1:14" x14ac:dyDescent="0.25">
      <c r="A23" s="28">
        <v>6</v>
      </c>
      <c r="B23" s="8">
        <f t="shared" si="0"/>
        <v>90</v>
      </c>
      <c r="C23" s="9">
        <v>4.2500000000000003E-2</v>
      </c>
      <c r="D23" s="9">
        <v>0.04</v>
      </c>
      <c r="E23" s="10">
        <v>0.05</v>
      </c>
      <c r="F23" s="10">
        <v>0</v>
      </c>
      <c r="G23" s="7">
        <v>0.04</v>
      </c>
      <c r="H23" s="7">
        <v>0.02</v>
      </c>
      <c r="I23" s="8">
        <f t="shared" si="1"/>
        <v>38.642828112000004</v>
      </c>
      <c r="J23" s="8">
        <v>1000</v>
      </c>
      <c r="K23" s="9">
        <v>2.2499999999999999E-2</v>
      </c>
      <c r="L23" s="11">
        <v>1.4E-3</v>
      </c>
      <c r="M23" s="10">
        <v>7.0000000000000007E-2</v>
      </c>
      <c r="N23" s="8">
        <v>540</v>
      </c>
    </row>
    <row r="24" spans="1:14" x14ac:dyDescent="0.25">
      <c r="A24" s="28">
        <v>7</v>
      </c>
      <c r="B24" s="8">
        <f t="shared" si="0"/>
        <v>90</v>
      </c>
      <c r="C24" s="9">
        <v>4.2500000000000003E-2</v>
      </c>
      <c r="D24" s="9">
        <v>0.04</v>
      </c>
      <c r="E24" s="10">
        <v>0.05</v>
      </c>
      <c r="F24" s="10">
        <v>0</v>
      </c>
      <c r="G24" s="7">
        <v>0.04</v>
      </c>
      <c r="H24" s="7">
        <v>0.02</v>
      </c>
      <c r="I24" s="8">
        <f t="shared" si="1"/>
        <v>39.415684674240005</v>
      </c>
      <c r="J24" s="8">
        <v>1000</v>
      </c>
      <c r="K24" s="9">
        <v>2.2499999999999999E-2</v>
      </c>
      <c r="L24" s="11">
        <v>1.58E-3</v>
      </c>
      <c r="M24" s="10">
        <v>0.06</v>
      </c>
      <c r="N24" s="8">
        <v>650</v>
      </c>
    </row>
    <row r="25" spans="1:14" x14ac:dyDescent="0.25">
      <c r="A25" s="28">
        <v>8</v>
      </c>
      <c r="B25" s="8">
        <f t="shared" si="0"/>
        <v>90</v>
      </c>
      <c r="C25" s="9">
        <v>4.2500000000000003E-2</v>
      </c>
      <c r="D25" s="9">
        <v>0.04</v>
      </c>
      <c r="E25" s="10">
        <v>0.05</v>
      </c>
      <c r="F25" s="10">
        <v>0</v>
      </c>
      <c r="G25" s="7">
        <v>0.04</v>
      </c>
      <c r="H25" s="7">
        <v>0.02</v>
      </c>
      <c r="I25" s="8">
        <f t="shared" si="1"/>
        <v>40.203998367724807</v>
      </c>
      <c r="J25" s="8">
        <v>1000</v>
      </c>
      <c r="K25" s="9">
        <v>2.2499999999999999E-2</v>
      </c>
      <c r="L25" s="11">
        <v>1.7799999999999999E-3</v>
      </c>
      <c r="M25" s="10">
        <v>0.05</v>
      </c>
      <c r="N25" s="8">
        <v>760</v>
      </c>
    </row>
    <row r="26" spans="1:14" x14ac:dyDescent="0.25">
      <c r="A26" s="28">
        <v>9</v>
      </c>
      <c r="B26" s="8">
        <f t="shared" si="0"/>
        <v>90</v>
      </c>
      <c r="C26" s="9">
        <v>4.2500000000000003E-2</v>
      </c>
      <c r="D26" s="9">
        <v>0.04</v>
      </c>
      <c r="E26" s="10">
        <v>0.05</v>
      </c>
      <c r="F26" s="10">
        <v>0</v>
      </c>
      <c r="G26" s="7">
        <v>0.04</v>
      </c>
      <c r="H26" s="7">
        <v>0.02</v>
      </c>
      <c r="I26" s="8">
        <f t="shared" si="1"/>
        <v>41.008078335079304</v>
      </c>
      <c r="J26" s="8">
        <v>1000</v>
      </c>
      <c r="K26" s="9">
        <v>2.2499999999999999E-2</v>
      </c>
      <c r="L26" s="11">
        <v>2.0100000000000001E-3</v>
      </c>
      <c r="M26" s="10">
        <v>0.04</v>
      </c>
      <c r="N26" s="8">
        <v>870</v>
      </c>
    </row>
    <row r="27" spans="1:14" x14ac:dyDescent="0.25">
      <c r="A27" s="28">
        <v>10</v>
      </c>
      <c r="B27" s="8">
        <f t="shared" si="0"/>
        <v>90</v>
      </c>
      <c r="C27" s="9">
        <v>4.2500000000000003E-2</v>
      </c>
      <c r="D27" s="9">
        <v>0.04</v>
      </c>
      <c r="E27" s="10">
        <v>0.05</v>
      </c>
      <c r="F27" s="10">
        <v>0</v>
      </c>
      <c r="G27" s="7">
        <v>0.04</v>
      </c>
      <c r="H27" s="7">
        <v>0.02</v>
      </c>
      <c r="I27" s="8">
        <f t="shared" si="1"/>
        <v>41.82823990178089</v>
      </c>
      <c r="J27" s="8">
        <v>1000</v>
      </c>
      <c r="K27" s="9">
        <v>2.2499999999999999E-2</v>
      </c>
      <c r="L27" s="11">
        <v>2.2399999999999998E-3</v>
      </c>
      <c r="M27" s="10">
        <v>1</v>
      </c>
      <c r="N27" s="8">
        <v>1000</v>
      </c>
    </row>
    <row r="28" spans="1:14" x14ac:dyDescent="0.25">
      <c r="A28" s="28"/>
      <c r="B28" s="26"/>
      <c r="C28" s="31"/>
      <c r="D28" s="31"/>
      <c r="E28" s="31"/>
      <c r="F28" s="27"/>
      <c r="G28" s="27"/>
      <c r="H28" s="27"/>
      <c r="I28" s="27"/>
      <c r="J28" s="27"/>
      <c r="K28" s="32"/>
      <c r="L28" s="33"/>
    </row>
    <row r="29" spans="1:14" x14ac:dyDescent="0.25">
      <c r="A29" s="4" t="s">
        <v>62</v>
      </c>
    </row>
    <row r="31" spans="1:14" x14ac:dyDescent="0.25">
      <c r="A31" s="20" t="s">
        <v>13</v>
      </c>
      <c r="B31" s="27">
        <f>B10</f>
        <v>1000</v>
      </c>
    </row>
    <row r="32" spans="1:14" x14ac:dyDescent="0.25">
      <c r="A32" s="20" t="s">
        <v>41</v>
      </c>
      <c r="B32" s="27">
        <f>B11</f>
        <v>100</v>
      </c>
      <c r="E32" s="26"/>
    </row>
    <row r="33" spans="1:14" x14ac:dyDescent="0.25">
      <c r="B33" s="27"/>
      <c r="E33" s="26"/>
    </row>
    <row r="34" spans="1:14" x14ac:dyDescent="0.25">
      <c r="B34" s="28"/>
      <c r="C34" s="28" t="s">
        <v>15</v>
      </c>
      <c r="D34" s="28"/>
      <c r="E34" s="28"/>
      <c r="F34" s="28"/>
      <c r="G34" s="28"/>
      <c r="H34" s="28"/>
      <c r="I34" s="28"/>
      <c r="J34" s="28"/>
      <c r="K34" s="28"/>
      <c r="L34" s="28"/>
      <c r="M34" s="28"/>
    </row>
    <row r="35" spans="1:14" x14ac:dyDescent="0.25">
      <c r="A35" s="29"/>
      <c r="B35" s="28"/>
      <c r="C35" s="28" t="s">
        <v>14</v>
      </c>
      <c r="D35" s="28" t="s">
        <v>39</v>
      </c>
      <c r="E35" s="28"/>
      <c r="F35" s="28" t="s">
        <v>17</v>
      </c>
      <c r="G35" s="28" t="s">
        <v>18</v>
      </c>
      <c r="H35" s="28" t="s">
        <v>18</v>
      </c>
      <c r="I35" s="28" t="s">
        <v>18</v>
      </c>
      <c r="J35" s="28" t="s">
        <v>75</v>
      </c>
      <c r="K35" s="28"/>
      <c r="L35" s="28"/>
      <c r="M35" s="28"/>
    </row>
    <row r="36" spans="1:14" x14ac:dyDescent="0.25">
      <c r="A36" s="28" t="s">
        <v>0</v>
      </c>
      <c r="B36" s="28" t="s">
        <v>4</v>
      </c>
      <c r="C36" s="28" t="s">
        <v>36</v>
      </c>
      <c r="D36" s="28" t="s">
        <v>38</v>
      </c>
      <c r="E36" s="28" t="s">
        <v>6</v>
      </c>
      <c r="F36" s="28" t="s">
        <v>6</v>
      </c>
      <c r="G36" s="28" t="s">
        <v>19</v>
      </c>
      <c r="H36" s="28" t="s">
        <v>20</v>
      </c>
      <c r="I36" s="28" t="s">
        <v>7</v>
      </c>
      <c r="J36" s="28" t="s">
        <v>76</v>
      </c>
      <c r="K36" s="28" t="s">
        <v>33</v>
      </c>
      <c r="L36" s="28" t="s">
        <v>2</v>
      </c>
      <c r="M36" s="28" t="s">
        <v>8</v>
      </c>
      <c r="N36" s="28" t="s">
        <v>37</v>
      </c>
    </row>
    <row r="37" spans="1:14" x14ac:dyDescent="0.25">
      <c r="A37" s="2" t="s">
        <v>1</v>
      </c>
      <c r="B37" s="2" t="s">
        <v>35</v>
      </c>
      <c r="C37" s="2" t="s">
        <v>16</v>
      </c>
      <c r="D37" s="2" t="s">
        <v>3</v>
      </c>
      <c r="E37" s="2" t="s">
        <v>3</v>
      </c>
      <c r="F37" s="2" t="s">
        <v>3</v>
      </c>
      <c r="G37" s="2" t="s">
        <v>5</v>
      </c>
      <c r="H37" s="2" t="s">
        <v>5</v>
      </c>
      <c r="I37" s="2" t="s">
        <v>5</v>
      </c>
      <c r="J37" s="2" t="s">
        <v>5</v>
      </c>
      <c r="K37" s="2" t="s">
        <v>34</v>
      </c>
      <c r="L37" s="2" t="s">
        <v>3</v>
      </c>
      <c r="M37" s="2" t="s">
        <v>3</v>
      </c>
      <c r="N37" s="2" t="s">
        <v>35</v>
      </c>
    </row>
    <row r="38" spans="1:14" x14ac:dyDescent="0.25">
      <c r="A38" s="28"/>
      <c r="N38" s="30"/>
    </row>
    <row r="39" spans="1:14" x14ac:dyDescent="0.25">
      <c r="A39" s="28">
        <v>1</v>
      </c>
      <c r="B39" s="30">
        <f>B18</f>
        <v>90</v>
      </c>
      <c r="C39" s="26">
        <f>C18</f>
        <v>4.2500000000000003E-2</v>
      </c>
      <c r="D39" s="26">
        <f t="shared" ref="D39:F39" si="2">D18</f>
        <v>0.04</v>
      </c>
      <c r="E39" s="31">
        <f t="shared" si="2"/>
        <v>0.75</v>
      </c>
      <c r="F39" s="31">
        <f t="shared" si="2"/>
        <v>0.7</v>
      </c>
      <c r="G39" s="27">
        <f t="shared" ref="G39:N39" si="3">G18</f>
        <v>200</v>
      </c>
      <c r="H39" s="27">
        <f t="shared" si="3"/>
        <v>100</v>
      </c>
      <c r="I39" s="30">
        <f t="shared" si="3"/>
        <v>35</v>
      </c>
      <c r="J39" s="30">
        <v>1000</v>
      </c>
      <c r="K39" s="26">
        <f t="shared" si="3"/>
        <v>2.2499999999999999E-2</v>
      </c>
      <c r="L39" s="34">
        <f t="shared" si="3"/>
        <v>6.3000000000000003E-4</v>
      </c>
      <c r="M39" s="31">
        <f t="shared" si="3"/>
        <v>0.15</v>
      </c>
      <c r="N39" s="30">
        <f t="shared" si="3"/>
        <v>0</v>
      </c>
    </row>
    <row r="40" spans="1:14" x14ac:dyDescent="0.25">
      <c r="A40" s="28">
        <v>2</v>
      </c>
      <c r="B40" s="30">
        <f t="shared" ref="B40:C48" si="4">B19</f>
        <v>90</v>
      </c>
      <c r="C40" s="26">
        <f t="shared" si="4"/>
        <v>4.2500000000000003E-2</v>
      </c>
      <c r="D40" s="26">
        <f t="shared" ref="D40:N40" si="5">D19</f>
        <v>0.04</v>
      </c>
      <c r="E40" s="31">
        <f t="shared" si="5"/>
        <v>0.05</v>
      </c>
      <c r="F40" s="31">
        <f t="shared" si="5"/>
        <v>0</v>
      </c>
      <c r="G40" s="27">
        <f t="shared" si="5"/>
        <v>0.04</v>
      </c>
      <c r="H40" s="27">
        <f t="shared" si="5"/>
        <v>0.02</v>
      </c>
      <c r="I40" s="30">
        <f t="shared" si="5"/>
        <v>35.700000000000003</v>
      </c>
      <c r="J40" s="30">
        <v>1000</v>
      </c>
      <c r="K40" s="26">
        <f t="shared" si="5"/>
        <v>2.2499999999999999E-2</v>
      </c>
      <c r="L40" s="34">
        <f t="shared" si="5"/>
        <v>7.6999999999999996E-4</v>
      </c>
      <c r="M40" s="31">
        <f t="shared" si="5"/>
        <v>0.12</v>
      </c>
      <c r="N40" s="30">
        <f t="shared" si="5"/>
        <v>100</v>
      </c>
    </row>
    <row r="41" spans="1:14" x14ac:dyDescent="0.25">
      <c r="A41" s="28">
        <v>3</v>
      </c>
      <c r="B41" s="30">
        <f t="shared" si="4"/>
        <v>90</v>
      </c>
      <c r="C41" s="26">
        <f t="shared" si="4"/>
        <v>4.2500000000000003E-2</v>
      </c>
      <c r="D41" s="26">
        <f t="shared" ref="D41:N41" si="6">D20</f>
        <v>0.04</v>
      </c>
      <c r="E41" s="31">
        <f t="shared" si="6"/>
        <v>0.05</v>
      </c>
      <c r="F41" s="31">
        <f t="shared" si="6"/>
        <v>0</v>
      </c>
      <c r="G41" s="27">
        <f t="shared" si="6"/>
        <v>0.04</v>
      </c>
      <c r="H41" s="27">
        <f t="shared" si="6"/>
        <v>0.02</v>
      </c>
      <c r="I41" s="30">
        <f t="shared" si="6"/>
        <v>36.414000000000001</v>
      </c>
      <c r="J41" s="30">
        <v>1000</v>
      </c>
      <c r="K41" s="26">
        <f t="shared" si="6"/>
        <v>2.2499999999999999E-2</v>
      </c>
      <c r="L41" s="34">
        <f t="shared" si="6"/>
        <v>9.8999999999999999E-4</v>
      </c>
      <c r="M41" s="31">
        <f t="shared" si="6"/>
        <v>0.1</v>
      </c>
      <c r="N41" s="30">
        <f t="shared" si="6"/>
        <v>210</v>
      </c>
    </row>
    <row r="42" spans="1:14" x14ac:dyDescent="0.25">
      <c r="A42" s="28">
        <v>4</v>
      </c>
      <c r="B42" s="30">
        <f t="shared" si="4"/>
        <v>90</v>
      </c>
      <c r="C42" s="26">
        <f t="shared" si="4"/>
        <v>4.2500000000000003E-2</v>
      </c>
      <c r="D42" s="26">
        <f t="shared" ref="D42:N42" si="7">D21</f>
        <v>0.04</v>
      </c>
      <c r="E42" s="31">
        <f t="shared" si="7"/>
        <v>0.05</v>
      </c>
      <c r="F42" s="31">
        <f t="shared" si="7"/>
        <v>0</v>
      </c>
      <c r="G42" s="27">
        <f t="shared" si="7"/>
        <v>0.04</v>
      </c>
      <c r="H42" s="27">
        <f t="shared" si="7"/>
        <v>0.02</v>
      </c>
      <c r="I42" s="30">
        <f t="shared" si="7"/>
        <v>37.14228</v>
      </c>
      <c r="J42" s="30">
        <v>1000</v>
      </c>
      <c r="K42" s="26">
        <f t="shared" si="7"/>
        <v>2.2499999999999999E-2</v>
      </c>
      <c r="L42" s="34">
        <f t="shared" si="7"/>
        <v>1.14E-3</v>
      </c>
      <c r="M42" s="31">
        <f t="shared" si="7"/>
        <v>0.09</v>
      </c>
      <c r="N42" s="30">
        <f t="shared" si="7"/>
        <v>320</v>
      </c>
    </row>
    <row r="43" spans="1:14" x14ac:dyDescent="0.25">
      <c r="A43" s="28">
        <v>5</v>
      </c>
      <c r="B43" s="30">
        <f t="shared" si="4"/>
        <v>90</v>
      </c>
      <c r="C43" s="26">
        <f t="shared" si="4"/>
        <v>4.2500000000000003E-2</v>
      </c>
      <c r="D43" s="26">
        <f t="shared" ref="D43:K43" si="8">D22</f>
        <v>0.04</v>
      </c>
      <c r="E43" s="31">
        <f t="shared" si="8"/>
        <v>0.05</v>
      </c>
      <c r="F43" s="31">
        <f t="shared" si="8"/>
        <v>0</v>
      </c>
      <c r="G43" s="27">
        <f t="shared" si="8"/>
        <v>0.04</v>
      </c>
      <c r="H43" s="27">
        <f t="shared" si="8"/>
        <v>0.02</v>
      </c>
      <c r="I43" s="30">
        <f t="shared" si="8"/>
        <v>37.885125600000002</v>
      </c>
      <c r="J43" s="30">
        <v>1000</v>
      </c>
      <c r="K43" s="26">
        <f t="shared" si="8"/>
        <v>2.2499999999999999E-2</v>
      </c>
      <c r="L43" s="14">
        <f>L22*1.25</f>
        <v>1.6000000000000001E-3</v>
      </c>
      <c r="M43" s="31">
        <f t="shared" ref="M43:N48" si="9">M22</f>
        <v>0.08</v>
      </c>
      <c r="N43" s="30">
        <f t="shared" si="9"/>
        <v>430</v>
      </c>
    </row>
    <row r="44" spans="1:14" x14ac:dyDescent="0.25">
      <c r="A44" s="28">
        <v>6</v>
      </c>
      <c r="B44" s="30">
        <f t="shared" si="4"/>
        <v>90</v>
      </c>
      <c r="C44" s="26">
        <f t="shared" si="4"/>
        <v>4.2500000000000003E-2</v>
      </c>
      <c r="D44" s="26">
        <f t="shared" ref="D44:L44" si="10">D23</f>
        <v>0.04</v>
      </c>
      <c r="E44" s="31">
        <f t="shared" si="10"/>
        <v>0.05</v>
      </c>
      <c r="F44" s="31">
        <f t="shared" si="10"/>
        <v>0</v>
      </c>
      <c r="G44" s="27">
        <f t="shared" si="10"/>
        <v>0.04</v>
      </c>
      <c r="H44" s="27">
        <f t="shared" si="10"/>
        <v>0.02</v>
      </c>
      <c r="I44" s="30">
        <f t="shared" si="10"/>
        <v>38.642828112000004</v>
      </c>
      <c r="J44" s="30">
        <v>1000</v>
      </c>
      <c r="K44" s="26">
        <f t="shared" si="10"/>
        <v>2.2499999999999999E-2</v>
      </c>
      <c r="L44" s="34">
        <f t="shared" si="10"/>
        <v>1.4E-3</v>
      </c>
      <c r="M44" s="31">
        <f t="shared" si="9"/>
        <v>7.0000000000000007E-2</v>
      </c>
      <c r="N44" s="30">
        <f t="shared" si="9"/>
        <v>540</v>
      </c>
    </row>
    <row r="45" spans="1:14" x14ac:dyDescent="0.25">
      <c r="A45" s="28">
        <v>7</v>
      </c>
      <c r="B45" s="30">
        <f t="shared" si="4"/>
        <v>90</v>
      </c>
      <c r="C45" s="26">
        <f t="shared" si="4"/>
        <v>4.2500000000000003E-2</v>
      </c>
      <c r="D45" s="26">
        <f t="shared" ref="D45:L45" si="11">D24</f>
        <v>0.04</v>
      </c>
      <c r="E45" s="31">
        <f t="shared" si="11"/>
        <v>0.05</v>
      </c>
      <c r="F45" s="31">
        <f t="shared" si="11"/>
        <v>0</v>
      </c>
      <c r="G45" s="27">
        <f t="shared" si="11"/>
        <v>0.04</v>
      </c>
      <c r="H45" s="27">
        <f t="shared" si="11"/>
        <v>0.02</v>
      </c>
      <c r="I45" s="30">
        <f t="shared" si="11"/>
        <v>39.415684674240005</v>
      </c>
      <c r="J45" s="30">
        <v>1000</v>
      </c>
      <c r="K45" s="26">
        <f t="shared" si="11"/>
        <v>2.2499999999999999E-2</v>
      </c>
      <c r="L45" s="34">
        <f t="shared" si="11"/>
        <v>1.58E-3</v>
      </c>
      <c r="M45" s="31">
        <f t="shared" si="9"/>
        <v>0.06</v>
      </c>
      <c r="N45" s="30">
        <f t="shared" si="9"/>
        <v>650</v>
      </c>
    </row>
    <row r="46" spans="1:14" x14ac:dyDescent="0.25">
      <c r="A46" s="28">
        <v>8</v>
      </c>
      <c r="B46" s="30">
        <f t="shared" si="4"/>
        <v>90</v>
      </c>
      <c r="C46" s="26">
        <f t="shared" si="4"/>
        <v>4.2500000000000003E-2</v>
      </c>
      <c r="D46" s="26">
        <f t="shared" ref="D46:L46" si="12">D25</f>
        <v>0.04</v>
      </c>
      <c r="E46" s="31">
        <f t="shared" si="12"/>
        <v>0.05</v>
      </c>
      <c r="F46" s="31">
        <f t="shared" si="12"/>
        <v>0</v>
      </c>
      <c r="G46" s="27">
        <f t="shared" si="12"/>
        <v>0.04</v>
      </c>
      <c r="H46" s="27">
        <f t="shared" si="12"/>
        <v>0.02</v>
      </c>
      <c r="I46" s="30">
        <f t="shared" si="12"/>
        <v>40.203998367724807</v>
      </c>
      <c r="J46" s="30">
        <v>1000</v>
      </c>
      <c r="K46" s="26">
        <f t="shared" si="12"/>
        <v>2.2499999999999999E-2</v>
      </c>
      <c r="L46" s="34">
        <f t="shared" si="12"/>
        <v>1.7799999999999999E-3</v>
      </c>
      <c r="M46" s="31">
        <f t="shared" si="9"/>
        <v>0.05</v>
      </c>
      <c r="N46" s="30">
        <f t="shared" si="9"/>
        <v>760</v>
      </c>
    </row>
    <row r="47" spans="1:14" x14ac:dyDescent="0.25">
      <c r="A47" s="28">
        <v>9</v>
      </c>
      <c r="B47" s="30">
        <f t="shared" si="4"/>
        <v>90</v>
      </c>
      <c r="C47" s="26">
        <f t="shared" si="4"/>
        <v>4.2500000000000003E-2</v>
      </c>
      <c r="D47" s="26">
        <f t="shared" ref="D47:L47" si="13">D26</f>
        <v>0.04</v>
      </c>
      <c r="E47" s="31">
        <f t="shared" si="13"/>
        <v>0.05</v>
      </c>
      <c r="F47" s="31">
        <f t="shared" si="13"/>
        <v>0</v>
      </c>
      <c r="G47" s="27">
        <f t="shared" si="13"/>
        <v>0.04</v>
      </c>
      <c r="H47" s="27">
        <f t="shared" si="13"/>
        <v>0.02</v>
      </c>
      <c r="I47" s="30">
        <f t="shared" si="13"/>
        <v>41.008078335079304</v>
      </c>
      <c r="J47" s="30">
        <v>1000</v>
      </c>
      <c r="K47" s="26">
        <f t="shared" si="13"/>
        <v>2.2499999999999999E-2</v>
      </c>
      <c r="L47" s="34">
        <f t="shared" si="13"/>
        <v>2.0100000000000001E-3</v>
      </c>
      <c r="M47" s="31">
        <f t="shared" si="9"/>
        <v>0.04</v>
      </c>
      <c r="N47" s="30">
        <f t="shared" si="9"/>
        <v>870</v>
      </c>
    </row>
    <row r="48" spans="1:14" x14ac:dyDescent="0.25">
      <c r="A48" s="28">
        <v>10</v>
      </c>
      <c r="B48" s="30">
        <f t="shared" si="4"/>
        <v>90</v>
      </c>
      <c r="C48" s="26">
        <f t="shared" si="4"/>
        <v>4.2500000000000003E-2</v>
      </c>
      <c r="D48" s="26">
        <f t="shared" ref="D48:L48" si="14">D27</f>
        <v>0.04</v>
      </c>
      <c r="E48" s="31">
        <f t="shared" si="14"/>
        <v>0.05</v>
      </c>
      <c r="F48" s="31">
        <f t="shared" si="14"/>
        <v>0</v>
      </c>
      <c r="G48" s="27">
        <f t="shared" si="14"/>
        <v>0.04</v>
      </c>
      <c r="H48" s="27">
        <f t="shared" si="14"/>
        <v>0.02</v>
      </c>
      <c r="I48" s="30">
        <f t="shared" si="14"/>
        <v>41.82823990178089</v>
      </c>
      <c r="J48" s="30">
        <v>1000</v>
      </c>
      <c r="K48" s="26">
        <f t="shared" si="14"/>
        <v>2.2499999999999999E-2</v>
      </c>
      <c r="L48" s="34">
        <f t="shared" si="14"/>
        <v>2.2399999999999998E-3</v>
      </c>
      <c r="M48" s="31">
        <f t="shared" si="9"/>
        <v>1</v>
      </c>
      <c r="N48" s="30">
        <f t="shared" si="9"/>
        <v>1000</v>
      </c>
    </row>
    <row r="50" spans="1:14" x14ac:dyDescent="0.25">
      <c r="A50" s="4" t="s">
        <v>63</v>
      </c>
    </row>
    <row r="52" spans="1:14" x14ac:dyDescent="0.25">
      <c r="A52" s="20" t="s">
        <v>13</v>
      </c>
      <c r="B52" s="27">
        <v>1000</v>
      </c>
    </row>
    <row r="53" spans="1:14" x14ac:dyDescent="0.25">
      <c r="A53" s="20" t="s">
        <v>41</v>
      </c>
      <c r="B53" s="27">
        <v>100</v>
      </c>
      <c r="E53" s="26"/>
    </row>
    <row r="54" spans="1:14" x14ac:dyDescent="0.25">
      <c r="B54" s="27"/>
      <c r="E54" s="26"/>
    </row>
    <row r="55" spans="1:14" x14ac:dyDescent="0.25">
      <c r="B55" s="28"/>
      <c r="C55" s="28" t="s">
        <v>15</v>
      </c>
      <c r="D55" s="28"/>
      <c r="E55" s="28"/>
      <c r="F55" s="28"/>
      <c r="G55" s="28"/>
      <c r="H55" s="28"/>
      <c r="I55" s="28"/>
      <c r="J55" s="28"/>
      <c r="K55" s="28"/>
      <c r="L55" s="28"/>
      <c r="M55" s="28"/>
    </row>
    <row r="56" spans="1:14" x14ac:dyDescent="0.25">
      <c r="A56" s="29"/>
      <c r="B56" s="28"/>
      <c r="C56" s="28" t="s">
        <v>14</v>
      </c>
      <c r="D56" s="28" t="s">
        <v>39</v>
      </c>
      <c r="E56" s="28"/>
      <c r="F56" s="28" t="s">
        <v>17</v>
      </c>
      <c r="G56" s="28" t="s">
        <v>18</v>
      </c>
      <c r="H56" s="28" t="s">
        <v>18</v>
      </c>
      <c r="I56" s="28" t="s">
        <v>18</v>
      </c>
      <c r="J56" s="28" t="s">
        <v>75</v>
      </c>
      <c r="K56" s="28"/>
      <c r="L56" s="28"/>
      <c r="M56" s="28"/>
    </row>
    <row r="57" spans="1:14" x14ac:dyDescent="0.25">
      <c r="A57" s="28" t="s">
        <v>0</v>
      </c>
      <c r="B57" s="28" t="s">
        <v>4</v>
      </c>
      <c r="C57" s="28" t="s">
        <v>36</v>
      </c>
      <c r="D57" s="28" t="s">
        <v>38</v>
      </c>
      <c r="E57" s="28" t="s">
        <v>6</v>
      </c>
      <c r="F57" s="28" t="s">
        <v>6</v>
      </c>
      <c r="G57" s="28" t="s">
        <v>19</v>
      </c>
      <c r="H57" s="28" t="s">
        <v>20</v>
      </c>
      <c r="I57" s="28" t="s">
        <v>7</v>
      </c>
      <c r="J57" s="28" t="s">
        <v>76</v>
      </c>
      <c r="K57" s="28" t="s">
        <v>33</v>
      </c>
      <c r="L57" s="28" t="s">
        <v>2</v>
      </c>
      <c r="M57" s="28" t="s">
        <v>8</v>
      </c>
      <c r="N57" s="28" t="s">
        <v>37</v>
      </c>
    </row>
    <row r="58" spans="1:14" x14ac:dyDescent="0.25">
      <c r="A58" s="2" t="s">
        <v>1</v>
      </c>
      <c r="B58" s="2" t="s">
        <v>35</v>
      </c>
      <c r="C58" s="2" t="s">
        <v>16</v>
      </c>
      <c r="D58" s="2" t="s">
        <v>3</v>
      </c>
      <c r="E58" s="2" t="s">
        <v>3</v>
      </c>
      <c r="F58" s="2" t="s">
        <v>3</v>
      </c>
      <c r="G58" s="2" t="s">
        <v>5</v>
      </c>
      <c r="H58" s="2" t="s">
        <v>5</v>
      </c>
      <c r="I58" s="2" t="s">
        <v>5</v>
      </c>
      <c r="J58" s="2" t="s">
        <v>5</v>
      </c>
      <c r="K58" s="2" t="s">
        <v>34</v>
      </c>
      <c r="L58" s="2" t="s">
        <v>3</v>
      </c>
      <c r="M58" s="2" t="s">
        <v>3</v>
      </c>
      <c r="N58" s="2" t="s">
        <v>35</v>
      </c>
    </row>
    <row r="59" spans="1:14" x14ac:dyDescent="0.25">
      <c r="A59" s="28"/>
      <c r="N59" s="30"/>
    </row>
    <row r="60" spans="1:14" x14ac:dyDescent="0.25">
      <c r="A60" s="28">
        <v>1</v>
      </c>
      <c r="B60" s="30">
        <f>B39</f>
        <v>90</v>
      </c>
      <c r="C60" s="26">
        <f>C39</f>
        <v>4.2500000000000003E-2</v>
      </c>
      <c r="D60" s="26">
        <f t="shared" ref="D60:F60" si="15">D39</f>
        <v>0.04</v>
      </c>
      <c r="E60" s="31">
        <f t="shared" si="15"/>
        <v>0.75</v>
      </c>
      <c r="F60" s="31">
        <f t="shared" si="15"/>
        <v>0.7</v>
      </c>
      <c r="G60" s="27">
        <f t="shared" ref="G60:N60" si="16">G39</f>
        <v>200</v>
      </c>
      <c r="H60" s="27">
        <f t="shared" si="16"/>
        <v>100</v>
      </c>
      <c r="I60" s="30">
        <f t="shared" si="16"/>
        <v>35</v>
      </c>
      <c r="J60" s="30">
        <v>1000</v>
      </c>
      <c r="K60" s="26">
        <f t="shared" si="16"/>
        <v>2.2499999999999999E-2</v>
      </c>
      <c r="L60" s="34">
        <f t="shared" si="16"/>
        <v>6.3000000000000003E-4</v>
      </c>
      <c r="M60" s="31">
        <f t="shared" si="16"/>
        <v>0.15</v>
      </c>
      <c r="N60" s="30">
        <f t="shared" si="16"/>
        <v>0</v>
      </c>
    </row>
    <row r="61" spans="1:14" x14ac:dyDescent="0.25">
      <c r="A61" s="28">
        <v>2</v>
      </c>
      <c r="B61" s="30">
        <f t="shared" ref="B61:N61" si="17">B40</f>
        <v>90</v>
      </c>
      <c r="C61" s="26">
        <f t="shared" si="17"/>
        <v>4.2500000000000003E-2</v>
      </c>
      <c r="D61" s="26">
        <f t="shared" si="17"/>
        <v>0.04</v>
      </c>
      <c r="E61" s="31">
        <f t="shared" si="17"/>
        <v>0.05</v>
      </c>
      <c r="F61" s="31">
        <f t="shared" si="17"/>
        <v>0</v>
      </c>
      <c r="G61" s="27">
        <f t="shared" si="17"/>
        <v>0.04</v>
      </c>
      <c r="H61" s="27">
        <f t="shared" si="17"/>
        <v>0.02</v>
      </c>
      <c r="I61" s="30">
        <f t="shared" si="17"/>
        <v>35.700000000000003</v>
      </c>
      <c r="J61" s="30">
        <v>1000</v>
      </c>
      <c r="K61" s="26">
        <f t="shared" si="17"/>
        <v>2.2499999999999999E-2</v>
      </c>
      <c r="L61" s="34">
        <f t="shared" si="17"/>
        <v>7.6999999999999996E-4</v>
      </c>
      <c r="M61" s="31">
        <f t="shared" si="17"/>
        <v>0.12</v>
      </c>
      <c r="N61" s="30">
        <f t="shared" si="17"/>
        <v>100</v>
      </c>
    </row>
    <row r="62" spans="1:14" x14ac:dyDescent="0.25">
      <c r="A62" s="28">
        <v>3</v>
      </c>
      <c r="B62" s="30">
        <f t="shared" ref="B62:N62" si="18">B41</f>
        <v>90</v>
      </c>
      <c r="C62" s="26">
        <f t="shared" si="18"/>
        <v>4.2500000000000003E-2</v>
      </c>
      <c r="D62" s="26">
        <f t="shared" si="18"/>
        <v>0.04</v>
      </c>
      <c r="E62" s="31">
        <f t="shared" si="18"/>
        <v>0.05</v>
      </c>
      <c r="F62" s="31">
        <f t="shared" si="18"/>
        <v>0</v>
      </c>
      <c r="G62" s="27">
        <f t="shared" si="18"/>
        <v>0.04</v>
      </c>
      <c r="H62" s="27">
        <f t="shared" si="18"/>
        <v>0.02</v>
      </c>
      <c r="I62" s="30">
        <f t="shared" si="18"/>
        <v>36.414000000000001</v>
      </c>
      <c r="J62" s="30">
        <v>1000</v>
      </c>
      <c r="K62" s="26">
        <f t="shared" si="18"/>
        <v>2.2499999999999999E-2</v>
      </c>
      <c r="L62" s="34">
        <f t="shared" si="18"/>
        <v>9.8999999999999999E-4</v>
      </c>
      <c r="M62" s="31">
        <f t="shared" si="18"/>
        <v>0.1</v>
      </c>
      <c r="N62" s="30">
        <f t="shared" si="18"/>
        <v>210</v>
      </c>
    </row>
    <row r="63" spans="1:14" x14ac:dyDescent="0.25">
      <c r="A63" s="28">
        <v>4</v>
      </c>
      <c r="B63" s="30">
        <f t="shared" ref="B63:N63" si="19">B42</f>
        <v>90</v>
      </c>
      <c r="C63" s="26">
        <f t="shared" si="19"/>
        <v>4.2500000000000003E-2</v>
      </c>
      <c r="D63" s="26">
        <f t="shared" si="19"/>
        <v>0.04</v>
      </c>
      <c r="E63" s="31">
        <f t="shared" si="19"/>
        <v>0.05</v>
      </c>
      <c r="F63" s="31">
        <f t="shared" si="19"/>
        <v>0</v>
      </c>
      <c r="G63" s="27">
        <f t="shared" si="19"/>
        <v>0.04</v>
      </c>
      <c r="H63" s="27">
        <f t="shared" si="19"/>
        <v>0.02</v>
      </c>
      <c r="I63" s="30">
        <f t="shared" si="19"/>
        <v>37.14228</v>
      </c>
      <c r="J63" s="30">
        <v>1000</v>
      </c>
      <c r="K63" s="26">
        <f t="shared" si="19"/>
        <v>2.2499999999999999E-2</v>
      </c>
      <c r="L63" s="34">
        <f t="shared" si="19"/>
        <v>1.14E-3</v>
      </c>
      <c r="M63" s="31">
        <f t="shared" si="19"/>
        <v>0.09</v>
      </c>
      <c r="N63" s="30">
        <f t="shared" si="19"/>
        <v>320</v>
      </c>
    </row>
    <row r="64" spans="1:14" x14ac:dyDescent="0.25">
      <c r="A64" s="28">
        <v>5</v>
      </c>
      <c r="B64" s="30">
        <f t="shared" ref="B64:K64" si="20">B43</f>
        <v>90</v>
      </c>
      <c r="C64" s="26">
        <f t="shared" si="20"/>
        <v>4.2500000000000003E-2</v>
      </c>
      <c r="D64" s="26">
        <f t="shared" si="20"/>
        <v>0.04</v>
      </c>
      <c r="E64" s="31">
        <f t="shared" si="20"/>
        <v>0.05</v>
      </c>
      <c r="F64" s="31">
        <f t="shared" si="20"/>
        <v>0</v>
      </c>
      <c r="G64" s="27">
        <f t="shared" si="20"/>
        <v>0.04</v>
      </c>
      <c r="H64" s="27">
        <f t="shared" si="20"/>
        <v>0.02</v>
      </c>
      <c r="I64" s="30">
        <f t="shared" si="20"/>
        <v>37.885125600000002</v>
      </c>
      <c r="J64" s="30">
        <v>1000</v>
      </c>
      <c r="K64" s="26">
        <f t="shared" si="20"/>
        <v>2.2499999999999999E-2</v>
      </c>
      <c r="L64" s="14">
        <f>L43</f>
        <v>1.6000000000000001E-3</v>
      </c>
      <c r="M64" s="31">
        <f t="shared" ref="M64:N64" si="21">M43</f>
        <v>0.08</v>
      </c>
      <c r="N64" s="30">
        <f t="shared" si="21"/>
        <v>430</v>
      </c>
    </row>
    <row r="65" spans="1:14" x14ac:dyDescent="0.25">
      <c r="A65" s="28">
        <v>6</v>
      </c>
      <c r="B65" s="30">
        <f t="shared" ref="B65:N65" si="22">B44</f>
        <v>90</v>
      </c>
      <c r="C65" s="26">
        <f t="shared" si="22"/>
        <v>4.2500000000000003E-2</v>
      </c>
      <c r="D65" s="26">
        <f t="shared" si="22"/>
        <v>0.04</v>
      </c>
      <c r="E65" s="31">
        <f t="shared" si="22"/>
        <v>0.05</v>
      </c>
      <c r="F65" s="31">
        <f t="shared" si="22"/>
        <v>0</v>
      </c>
      <c r="G65" s="27">
        <f t="shared" si="22"/>
        <v>0.04</v>
      </c>
      <c r="H65" s="27">
        <f t="shared" si="22"/>
        <v>0.02</v>
      </c>
      <c r="I65" s="30">
        <f t="shared" si="22"/>
        <v>38.642828112000004</v>
      </c>
      <c r="J65" s="30">
        <v>1000</v>
      </c>
      <c r="K65" s="26">
        <f t="shared" si="22"/>
        <v>2.2499999999999999E-2</v>
      </c>
      <c r="L65" s="14">
        <f>L44*1.05</f>
        <v>1.47E-3</v>
      </c>
      <c r="M65" s="31">
        <f t="shared" si="22"/>
        <v>7.0000000000000007E-2</v>
      </c>
      <c r="N65" s="30">
        <f t="shared" si="22"/>
        <v>540</v>
      </c>
    </row>
    <row r="66" spans="1:14" x14ac:dyDescent="0.25">
      <c r="A66" s="28">
        <v>7</v>
      </c>
      <c r="B66" s="30">
        <f t="shared" ref="B66:N66" si="23">B45</f>
        <v>90</v>
      </c>
      <c r="C66" s="26">
        <f t="shared" si="23"/>
        <v>4.2500000000000003E-2</v>
      </c>
      <c r="D66" s="26">
        <f t="shared" si="23"/>
        <v>0.04</v>
      </c>
      <c r="E66" s="31">
        <f t="shared" si="23"/>
        <v>0.05</v>
      </c>
      <c r="F66" s="31">
        <f t="shared" si="23"/>
        <v>0</v>
      </c>
      <c r="G66" s="27">
        <f t="shared" si="23"/>
        <v>0.04</v>
      </c>
      <c r="H66" s="27">
        <f t="shared" si="23"/>
        <v>0.02</v>
      </c>
      <c r="I66" s="30">
        <f t="shared" si="23"/>
        <v>39.415684674240005</v>
      </c>
      <c r="J66" s="30">
        <v>1000</v>
      </c>
      <c r="K66" s="26">
        <f t="shared" si="23"/>
        <v>2.2499999999999999E-2</v>
      </c>
      <c r="L66" s="14">
        <f t="shared" ref="L66:L69" si="24">L45*1.05</f>
        <v>1.6590000000000001E-3</v>
      </c>
      <c r="M66" s="31">
        <f t="shared" si="23"/>
        <v>0.06</v>
      </c>
      <c r="N66" s="30">
        <f t="shared" si="23"/>
        <v>650</v>
      </c>
    </row>
    <row r="67" spans="1:14" x14ac:dyDescent="0.25">
      <c r="A67" s="28">
        <v>8</v>
      </c>
      <c r="B67" s="30">
        <f t="shared" ref="B67:N67" si="25">B46</f>
        <v>90</v>
      </c>
      <c r="C67" s="26">
        <f t="shared" si="25"/>
        <v>4.2500000000000003E-2</v>
      </c>
      <c r="D67" s="26">
        <f t="shared" si="25"/>
        <v>0.04</v>
      </c>
      <c r="E67" s="31">
        <f t="shared" si="25"/>
        <v>0.05</v>
      </c>
      <c r="F67" s="31">
        <f t="shared" si="25"/>
        <v>0</v>
      </c>
      <c r="G67" s="27">
        <f t="shared" si="25"/>
        <v>0.04</v>
      </c>
      <c r="H67" s="27">
        <f t="shared" si="25"/>
        <v>0.02</v>
      </c>
      <c r="I67" s="30">
        <f t="shared" si="25"/>
        <v>40.203998367724807</v>
      </c>
      <c r="J67" s="30">
        <v>1000</v>
      </c>
      <c r="K67" s="26">
        <f t="shared" si="25"/>
        <v>2.2499999999999999E-2</v>
      </c>
      <c r="L67" s="14">
        <f t="shared" si="24"/>
        <v>1.869E-3</v>
      </c>
      <c r="M67" s="31">
        <f t="shared" si="25"/>
        <v>0.05</v>
      </c>
      <c r="N67" s="30">
        <f t="shared" si="25"/>
        <v>760</v>
      </c>
    </row>
    <row r="68" spans="1:14" x14ac:dyDescent="0.25">
      <c r="A68" s="28">
        <v>9</v>
      </c>
      <c r="B68" s="30">
        <f t="shared" ref="B68:N68" si="26">B47</f>
        <v>90</v>
      </c>
      <c r="C68" s="26">
        <f t="shared" si="26"/>
        <v>4.2500000000000003E-2</v>
      </c>
      <c r="D68" s="26">
        <f t="shared" si="26"/>
        <v>0.04</v>
      </c>
      <c r="E68" s="31">
        <f t="shared" si="26"/>
        <v>0.05</v>
      </c>
      <c r="F68" s="31">
        <f t="shared" si="26"/>
        <v>0</v>
      </c>
      <c r="G68" s="27">
        <f t="shared" si="26"/>
        <v>0.04</v>
      </c>
      <c r="H68" s="27">
        <f t="shared" si="26"/>
        <v>0.02</v>
      </c>
      <c r="I68" s="30">
        <f t="shared" si="26"/>
        <v>41.008078335079304</v>
      </c>
      <c r="J68" s="30">
        <v>1000</v>
      </c>
      <c r="K68" s="26">
        <f t="shared" si="26"/>
        <v>2.2499999999999999E-2</v>
      </c>
      <c r="L68" s="14">
        <f t="shared" si="24"/>
        <v>2.1105E-3</v>
      </c>
      <c r="M68" s="31">
        <f t="shared" si="26"/>
        <v>0.04</v>
      </c>
      <c r="N68" s="30">
        <f t="shared" si="26"/>
        <v>870</v>
      </c>
    </row>
    <row r="69" spans="1:14" x14ac:dyDescent="0.25">
      <c r="A69" s="28">
        <v>10</v>
      </c>
      <c r="B69" s="30">
        <f t="shared" ref="B69:N69" si="27">B48</f>
        <v>90</v>
      </c>
      <c r="C69" s="26">
        <f t="shared" si="27"/>
        <v>4.2500000000000003E-2</v>
      </c>
      <c r="D69" s="26">
        <f t="shared" si="27"/>
        <v>0.04</v>
      </c>
      <c r="E69" s="31">
        <f t="shared" si="27"/>
        <v>0.05</v>
      </c>
      <c r="F69" s="31">
        <f t="shared" si="27"/>
        <v>0</v>
      </c>
      <c r="G69" s="27">
        <f t="shared" si="27"/>
        <v>0.04</v>
      </c>
      <c r="H69" s="27">
        <f t="shared" si="27"/>
        <v>0.02</v>
      </c>
      <c r="I69" s="30">
        <f t="shared" si="27"/>
        <v>41.82823990178089</v>
      </c>
      <c r="J69" s="30">
        <v>1000</v>
      </c>
      <c r="K69" s="26">
        <f t="shared" si="27"/>
        <v>2.2499999999999999E-2</v>
      </c>
      <c r="L69" s="14">
        <f t="shared" si="24"/>
        <v>2.3519999999999999E-3</v>
      </c>
      <c r="M69" s="31">
        <f t="shared" si="27"/>
        <v>1</v>
      </c>
      <c r="N69" s="30">
        <f t="shared" si="27"/>
        <v>1000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291"/>
  <sheetViews>
    <sheetView topLeftCell="A220" zoomScaleNormal="100" workbookViewId="0">
      <selection activeCell="A6" sqref="A6"/>
    </sheetView>
  </sheetViews>
  <sheetFormatPr defaultColWidth="8.7109375" defaultRowHeight="15" x14ac:dyDescent="0.25"/>
  <cols>
    <col min="1" max="1" width="26" style="20" customWidth="1"/>
    <col min="2" max="3" width="15.140625" style="20" bestFit="1" customWidth="1"/>
    <col min="4" max="4" width="12.42578125" style="20" bestFit="1" customWidth="1"/>
    <col min="5" max="5" width="12.5703125" style="20" bestFit="1" customWidth="1"/>
    <col min="6" max="6" width="13.42578125" style="20" bestFit="1" customWidth="1"/>
    <col min="7" max="7" width="11.85546875" style="20" bestFit="1" customWidth="1"/>
    <col min="8" max="8" width="12.5703125" style="20" bestFit="1" customWidth="1"/>
    <col min="9" max="9" width="12.5703125" style="20" customWidth="1"/>
    <col min="10" max="10" width="14.140625" style="20" customWidth="1"/>
    <col min="11" max="11" width="18.42578125" style="20" bestFit="1" customWidth="1"/>
    <col min="12" max="12" width="13.85546875" style="20" bestFit="1" customWidth="1"/>
    <col min="13" max="14" width="11.85546875" style="20" bestFit="1" customWidth="1"/>
    <col min="15" max="15" width="11.140625" style="20" bestFit="1" customWidth="1"/>
    <col min="16" max="16" width="25.140625" style="20" bestFit="1" customWidth="1"/>
    <col min="17" max="17" width="15.140625" style="20" bestFit="1" customWidth="1"/>
    <col min="18" max="18" width="12.140625" style="20" bestFit="1" customWidth="1"/>
    <col min="19" max="19" width="16.85546875" style="20" bestFit="1" customWidth="1"/>
    <col min="20" max="21" width="11.85546875" style="20" bestFit="1" customWidth="1"/>
    <col min="22" max="16384" width="8.7109375" style="20"/>
  </cols>
  <sheetData>
    <row r="1" spans="1:12" x14ac:dyDescent="0.25">
      <c r="A1" s="21" t="s">
        <v>139</v>
      </c>
    </row>
    <row r="2" spans="1:12" x14ac:dyDescent="0.25">
      <c r="A2" s="6" t="s">
        <v>140</v>
      </c>
    </row>
    <row r="3" spans="1:12" x14ac:dyDescent="0.25">
      <c r="A3" s="23" t="s">
        <v>141</v>
      </c>
    </row>
    <row r="4" spans="1:12" x14ac:dyDescent="0.25">
      <c r="A4" s="24" t="s">
        <v>152</v>
      </c>
    </row>
    <row r="6" spans="1:12" x14ac:dyDescent="0.25">
      <c r="A6" s="1" t="s">
        <v>21</v>
      </c>
      <c r="B6" s="1"/>
      <c r="C6" s="1"/>
      <c r="D6" s="1"/>
    </row>
    <row r="7" spans="1:12" x14ac:dyDescent="0.25">
      <c r="A7" s="1"/>
      <c r="B7" s="1"/>
      <c r="C7" s="1"/>
      <c r="D7" s="1"/>
    </row>
    <row r="8" spans="1:12" x14ac:dyDescent="0.25">
      <c r="A8" s="1" t="s">
        <v>61</v>
      </c>
      <c r="B8" s="1"/>
      <c r="C8" s="1"/>
      <c r="D8" s="1"/>
    </row>
    <row r="10" spans="1:12" x14ac:dyDescent="0.25">
      <c r="A10" s="3" t="s">
        <v>25</v>
      </c>
      <c r="B10" s="3"/>
      <c r="C10" s="3"/>
      <c r="D10" s="3"/>
    </row>
    <row r="12" spans="1:12" x14ac:dyDescent="0.25">
      <c r="A12" s="28" t="s">
        <v>0</v>
      </c>
      <c r="B12" s="28" t="s">
        <v>50</v>
      </c>
      <c r="C12" s="28" t="s">
        <v>50</v>
      </c>
      <c r="D12" s="28" t="s">
        <v>22</v>
      </c>
      <c r="F12" s="28" t="s">
        <v>51</v>
      </c>
      <c r="G12" s="28" t="s">
        <v>51</v>
      </c>
      <c r="H12" s="28" t="s">
        <v>42</v>
      </c>
      <c r="I12" s="28"/>
      <c r="J12" s="28"/>
    </row>
    <row r="13" spans="1:12" x14ac:dyDescent="0.25">
      <c r="A13" s="2" t="s">
        <v>1</v>
      </c>
      <c r="B13" s="2" t="s">
        <v>23</v>
      </c>
      <c r="C13" s="2" t="s">
        <v>24</v>
      </c>
      <c r="D13" s="2" t="s">
        <v>26</v>
      </c>
      <c r="F13" s="2" t="s">
        <v>23</v>
      </c>
      <c r="G13" s="2" t="s">
        <v>24</v>
      </c>
      <c r="H13" s="2" t="s">
        <v>26</v>
      </c>
      <c r="I13" s="2"/>
      <c r="J13" s="2"/>
    </row>
    <row r="14" spans="1:12" x14ac:dyDescent="0.25">
      <c r="D14" s="35">
        <f>Input!B10</f>
        <v>1000</v>
      </c>
      <c r="H14" s="36">
        <f>D14*Input!B$11</f>
        <v>100000</v>
      </c>
      <c r="I14" s="36"/>
      <c r="J14" s="36"/>
    </row>
    <row r="15" spans="1:12" x14ac:dyDescent="0.25">
      <c r="A15" s="20">
        <v>1</v>
      </c>
      <c r="B15" s="30">
        <f>Input!L18*'Actuarial balances'!D14</f>
        <v>0.63</v>
      </c>
      <c r="C15" s="35">
        <f>Input!M18*('Actuarial balances'!D14-'Actuarial balances'!B15)</f>
        <v>149.90549999999999</v>
      </c>
      <c r="D15" s="35">
        <f t="shared" ref="D15:D24" si="0">D14-B15-C15</f>
        <v>849.46450000000004</v>
      </c>
      <c r="F15" s="36">
        <f t="shared" ref="F15:F24" si="1">H$14/D$14*B15</f>
        <v>63</v>
      </c>
      <c r="G15" s="36">
        <f t="shared" ref="G15:G24" si="2">H$14/D$14*C15</f>
        <v>14990.55</v>
      </c>
      <c r="H15" s="36">
        <f t="shared" ref="H15:H24" si="3">H14-F15-G15</f>
        <v>84946.45</v>
      </c>
      <c r="I15" s="36"/>
      <c r="J15" s="36"/>
      <c r="K15" s="37"/>
      <c r="L15" s="37"/>
    </row>
    <row r="16" spans="1:12" x14ac:dyDescent="0.25">
      <c r="A16" s="20">
        <v>2</v>
      </c>
      <c r="B16" s="30">
        <f>Input!L19*'Actuarial balances'!D15</f>
        <v>0.65408766500000004</v>
      </c>
      <c r="C16" s="35">
        <f>Input!M19*('Actuarial balances'!D15-'Actuarial balances'!B16)</f>
        <v>101.8572494802</v>
      </c>
      <c r="D16" s="35">
        <f t="shared" si="0"/>
        <v>746.95316285479998</v>
      </c>
      <c r="F16" s="36">
        <f t="shared" si="1"/>
        <v>65.408766499999999</v>
      </c>
      <c r="G16" s="36">
        <f t="shared" si="2"/>
        <v>10185.724948019999</v>
      </c>
      <c r="H16" s="36">
        <f t="shared" si="3"/>
        <v>74695.316285480003</v>
      </c>
      <c r="I16" s="36"/>
      <c r="J16" s="36"/>
      <c r="K16" s="37"/>
      <c r="L16" s="37"/>
    </row>
    <row r="17" spans="1:23" x14ac:dyDescent="0.25">
      <c r="A17" s="20">
        <v>3</v>
      </c>
      <c r="B17" s="30">
        <f>Input!L20*'Actuarial balances'!D16</f>
        <v>0.73948363122625194</v>
      </c>
      <c r="C17" s="35">
        <f>Input!M20*('Actuarial balances'!D16-'Actuarial balances'!B17)</f>
        <v>74.621367922357379</v>
      </c>
      <c r="D17" s="35">
        <f t="shared" si="0"/>
        <v>671.59231130121634</v>
      </c>
      <c r="F17" s="36">
        <f t="shared" si="1"/>
        <v>73.948363122625196</v>
      </c>
      <c r="G17" s="36">
        <f t="shared" si="2"/>
        <v>7462.1367922357376</v>
      </c>
      <c r="H17" s="36">
        <f t="shared" si="3"/>
        <v>67159.23113012164</v>
      </c>
      <c r="I17" s="36"/>
      <c r="J17" s="36"/>
      <c r="K17" s="37"/>
      <c r="L17" s="37"/>
    </row>
    <row r="18" spans="1:23" x14ac:dyDescent="0.25">
      <c r="A18" s="20">
        <v>4</v>
      </c>
      <c r="B18" s="30">
        <f>Input!L21*'Actuarial balances'!D17</f>
        <v>0.76561523488338656</v>
      </c>
      <c r="C18" s="35">
        <f>Input!M21*('Actuarial balances'!D17-'Actuarial balances'!B18)</f>
        <v>60.374402645969965</v>
      </c>
      <c r="D18" s="35">
        <f t="shared" si="0"/>
        <v>610.45229342036293</v>
      </c>
      <c r="F18" s="36">
        <f t="shared" si="1"/>
        <v>76.561523488338651</v>
      </c>
      <c r="G18" s="36">
        <f t="shared" si="2"/>
        <v>6037.4402645969967</v>
      </c>
      <c r="H18" s="36">
        <f t="shared" si="3"/>
        <v>61045.229342036298</v>
      </c>
      <c r="I18" s="36"/>
      <c r="J18" s="36"/>
      <c r="K18" s="37"/>
      <c r="L18" s="37"/>
    </row>
    <row r="19" spans="1:23" x14ac:dyDescent="0.25">
      <c r="A19" s="20">
        <v>5</v>
      </c>
      <c r="B19" s="30">
        <f>Input!L22*'Actuarial balances'!D18</f>
        <v>0.78137893557806459</v>
      </c>
      <c r="C19" s="35">
        <f>Input!M22*('Actuarial balances'!D18-'Actuarial balances'!B19)</f>
        <v>48.773673158782785</v>
      </c>
      <c r="D19" s="35">
        <f t="shared" si="0"/>
        <v>560.89724132600202</v>
      </c>
      <c r="F19" s="36">
        <f t="shared" si="1"/>
        <v>78.137893557806464</v>
      </c>
      <c r="G19" s="36">
        <f t="shared" si="2"/>
        <v>4877.3673158782785</v>
      </c>
      <c r="H19" s="36">
        <f t="shared" si="3"/>
        <v>56089.724132600219</v>
      </c>
      <c r="I19" s="36"/>
      <c r="J19" s="36"/>
      <c r="K19" s="37"/>
      <c r="L19" s="37"/>
    </row>
    <row r="20" spans="1:23" x14ac:dyDescent="0.25">
      <c r="A20" s="20">
        <v>6</v>
      </c>
      <c r="B20" s="30">
        <f>Input!L23*'Actuarial balances'!D19</f>
        <v>0.7852561378564028</v>
      </c>
      <c r="C20" s="35">
        <f>Input!M23*('Actuarial balances'!D19-'Actuarial balances'!B20)</f>
        <v>39.207838963170197</v>
      </c>
      <c r="D20" s="35">
        <f t="shared" si="0"/>
        <v>520.90414622497542</v>
      </c>
      <c r="F20" s="36">
        <f t="shared" si="1"/>
        <v>78.525613785640275</v>
      </c>
      <c r="G20" s="36">
        <f t="shared" si="2"/>
        <v>3920.7838963170198</v>
      </c>
      <c r="H20" s="36">
        <f t="shared" si="3"/>
        <v>52090.414622497556</v>
      </c>
      <c r="I20" s="36"/>
      <c r="J20" s="36"/>
      <c r="K20" s="37"/>
      <c r="L20" s="37"/>
    </row>
    <row r="21" spans="1:23" x14ac:dyDescent="0.25">
      <c r="A21" s="20">
        <v>7</v>
      </c>
      <c r="B21" s="30">
        <f>Input!L24*'Actuarial balances'!D20</f>
        <v>0.82302855103546113</v>
      </c>
      <c r="C21" s="35">
        <f>Input!M24*('Actuarial balances'!D20-'Actuarial balances'!B21)</f>
        <v>31.204867060436396</v>
      </c>
      <c r="D21" s="35">
        <f t="shared" si="0"/>
        <v>488.87625061350354</v>
      </c>
      <c r="F21" s="36">
        <f t="shared" si="1"/>
        <v>82.302855103546108</v>
      </c>
      <c r="G21" s="36">
        <f t="shared" si="2"/>
        <v>3120.4867060436395</v>
      </c>
      <c r="H21" s="36">
        <f t="shared" si="3"/>
        <v>48887.625061350373</v>
      </c>
      <c r="I21" s="36"/>
      <c r="J21" s="36"/>
      <c r="K21" s="37"/>
      <c r="L21" s="37"/>
    </row>
    <row r="22" spans="1:23" x14ac:dyDescent="0.25">
      <c r="A22" s="20">
        <v>8</v>
      </c>
      <c r="B22" s="30">
        <f>Input!L25*'Actuarial balances'!D21</f>
        <v>0.87019972609203622</v>
      </c>
      <c r="C22" s="35">
        <f>Input!M25*('Actuarial balances'!D21-'Actuarial balances'!B22)</f>
        <v>24.400302544370575</v>
      </c>
      <c r="D22" s="35">
        <f t="shared" si="0"/>
        <v>463.60574834304094</v>
      </c>
      <c r="F22" s="36">
        <f t="shared" si="1"/>
        <v>87.01997260920362</v>
      </c>
      <c r="G22" s="36">
        <f t="shared" si="2"/>
        <v>2440.0302544370575</v>
      </c>
      <c r="H22" s="36">
        <f t="shared" si="3"/>
        <v>46360.574834304112</v>
      </c>
      <c r="I22" s="36"/>
      <c r="J22" s="36"/>
      <c r="K22" s="37"/>
      <c r="L22" s="37"/>
    </row>
    <row r="23" spans="1:23" x14ac:dyDescent="0.25">
      <c r="A23" s="20">
        <v>9</v>
      </c>
      <c r="B23" s="30">
        <f>Input!L26*'Actuarial balances'!D22</f>
        <v>0.93184755416951237</v>
      </c>
      <c r="C23" s="35">
        <f>Input!M26*('Actuarial balances'!D22-'Actuarial balances'!B23)</f>
        <v>18.506956031554857</v>
      </c>
      <c r="D23" s="35">
        <f t="shared" si="0"/>
        <v>444.16694475731657</v>
      </c>
      <c r="F23" s="36">
        <f t="shared" si="1"/>
        <v>93.184755416951234</v>
      </c>
      <c r="G23" s="36">
        <f t="shared" si="2"/>
        <v>1850.6956031554857</v>
      </c>
      <c r="H23" s="36">
        <f t="shared" si="3"/>
        <v>44416.694475731674</v>
      </c>
      <c r="I23" s="36"/>
      <c r="J23" s="36"/>
      <c r="K23" s="37"/>
      <c r="L23" s="37"/>
    </row>
    <row r="24" spans="1:23" x14ac:dyDescent="0.25">
      <c r="A24" s="20">
        <v>10</v>
      </c>
      <c r="B24" s="30">
        <f>Input!L27*'Actuarial balances'!D23</f>
        <v>0.99493395625638903</v>
      </c>
      <c r="C24" s="35">
        <f>Input!M27*('Actuarial balances'!D23-'Actuarial balances'!B24)</f>
        <v>443.1720108010602</v>
      </c>
      <c r="D24" s="35">
        <f t="shared" si="0"/>
        <v>0</v>
      </c>
      <c r="F24" s="36">
        <f t="shared" si="1"/>
        <v>99.493395625638897</v>
      </c>
      <c r="G24" s="36">
        <f t="shared" si="2"/>
        <v>44317.201080106017</v>
      </c>
      <c r="H24" s="36">
        <f t="shared" si="3"/>
        <v>0</v>
      </c>
      <c r="I24" s="36"/>
      <c r="J24" s="36"/>
      <c r="K24" s="37"/>
      <c r="L24" s="37"/>
    </row>
    <row r="25" spans="1:23" x14ac:dyDescent="0.25">
      <c r="B25" s="35"/>
      <c r="C25" s="35"/>
      <c r="D25" s="35"/>
      <c r="E25" s="35"/>
      <c r="F25" s="35"/>
      <c r="G25" s="35"/>
      <c r="H25" s="35"/>
      <c r="I25" s="35"/>
      <c r="J25" s="35"/>
    </row>
    <row r="26" spans="1:23" x14ac:dyDescent="0.25">
      <c r="A26" s="3" t="s">
        <v>43</v>
      </c>
      <c r="K26" s="20">
        <f>977-781</f>
        <v>196</v>
      </c>
    </row>
    <row r="28" spans="1:23" x14ac:dyDescent="0.25">
      <c r="B28" s="38"/>
    </row>
    <row r="29" spans="1:23" x14ac:dyDescent="0.25">
      <c r="C29" s="28" t="s">
        <v>47</v>
      </c>
      <c r="D29" s="28" t="s">
        <v>48</v>
      </c>
      <c r="G29" s="28"/>
      <c r="H29" s="28" t="s">
        <v>49</v>
      </c>
      <c r="I29" s="28"/>
      <c r="J29" s="28" t="s">
        <v>77</v>
      </c>
      <c r="O29" s="53"/>
      <c r="P29" s="53"/>
      <c r="Q29" s="53"/>
    </row>
    <row r="30" spans="1:23" x14ac:dyDescent="0.25">
      <c r="A30" s="28" t="s">
        <v>0</v>
      </c>
      <c r="B30" s="28" t="s">
        <v>39</v>
      </c>
      <c r="C30" s="28" t="s">
        <v>38</v>
      </c>
      <c r="D30" s="28" t="s">
        <v>38</v>
      </c>
      <c r="F30" s="28"/>
      <c r="G30" s="28" t="s">
        <v>7</v>
      </c>
      <c r="H30" s="28" t="s">
        <v>7</v>
      </c>
      <c r="I30" s="28" t="s">
        <v>76</v>
      </c>
      <c r="J30" s="28" t="s">
        <v>76</v>
      </c>
      <c r="K30" s="28" t="s">
        <v>31</v>
      </c>
      <c r="L30" s="28" t="s">
        <v>8</v>
      </c>
      <c r="M30" s="28" t="s">
        <v>10</v>
      </c>
      <c r="N30" s="28" t="s">
        <v>53</v>
      </c>
    </row>
    <row r="31" spans="1:23" x14ac:dyDescent="0.25">
      <c r="A31" s="2" t="s">
        <v>1</v>
      </c>
      <c r="B31" s="2" t="s">
        <v>46</v>
      </c>
      <c r="C31" s="2" t="s">
        <v>44</v>
      </c>
      <c r="D31" s="2" t="s">
        <v>44</v>
      </c>
      <c r="E31" s="2" t="s">
        <v>4</v>
      </c>
      <c r="F31" s="2" t="s">
        <v>45</v>
      </c>
      <c r="G31" s="2" t="s">
        <v>5</v>
      </c>
      <c r="H31" s="2" t="s">
        <v>5</v>
      </c>
      <c r="I31" s="2" t="s">
        <v>5</v>
      </c>
      <c r="J31" s="2" t="s">
        <v>5</v>
      </c>
      <c r="K31" s="2" t="s">
        <v>32</v>
      </c>
      <c r="L31" s="2" t="s">
        <v>32</v>
      </c>
      <c r="M31" s="2" t="s">
        <v>32</v>
      </c>
      <c r="N31" s="2" t="s">
        <v>32</v>
      </c>
      <c r="U31" s="3"/>
      <c r="W31" s="3"/>
    </row>
    <row r="32" spans="1:23" x14ac:dyDescent="0.25">
      <c r="A32" s="28"/>
    </row>
    <row r="33" spans="1:23" x14ac:dyDescent="0.25">
      <c r="A33" s="28">
        <v>1</v>
      </c>
      <c r="B33" s="39">
        <f>Input!D18</f>
        <v>0.04</v>
      </c>
      <c r="C33" s="40">
        <v>1</v>
      </c>
      <c r="D33" s="41">
        <f>C34</f>
        <v>0.96153846153846145</v>
      </c>
      <c r="E33" s="27">
        <f>H14*Input!B18</f>
        <v>9000000</v>
      </c>
      <c r="F33" s="27">
        <f>E33*C33</f>
        <v>9000000</v>
      </c>
      <c r="G33" s="27">
        <f>D14*Input!I18</f>
        <v>35000</v>
      </c>
      <c r="H33" s="27">
        <f>C33*G33</f>
        <v>35000</v>
      </c>
      <c r="I33" s="27">
        <f>B15*Input!J18</f>
        <v>630</v>
      </c>
      <c r="J33" s="27">
        <f>I33*D33</f>
        <v>605.76923076923072</v>
      </c>
      <c r="K33" s="27">
        <f>F15*1000</f>
        <v>63000</v>
      </c>
      <c r="L33" s="27">
        <f>G15*Input!N18</f>
        <v>0</v>
      </c>
      <c r="M33" s="27">
        <f t="shared" ref="M33:M42" si="4">K33+L33</f>
        <v>63000</v>
      </c>
      <c r="N33" s="27">
        <f>D33*M33</f>
        <v>60576.923076923071</v>
      </c>
      <c r="U33" s="27"/>
      <c r="W33" s="42"/>
    </row>
    <row r="34" spans="1:23" x14ac:dyDescent="0.25">
      <c r="A34" s="28">
        <v>2</v>
      </c>
      <c r="B34" s="39">
        <f>Input!D19</f>
        <v>0.04</v>
      </c>
      <c r="C34" s="40">
        <f t="shared" ref="C34:C42" si="5">C33/(1+B33)</f>
        <v>0.96153846153846145</v>
      </c>
      <c r="D34" s="40">
        <f t="shared" ref="D34:D42" si="6">D33/(1+B33)</f>
        <v>0.92455621301775137</v>
      </c>
      <c r="E34" s="27">
        <f>H15*Input!B19</f>
        <v>7645180.5</v>
      </c>
      <c r="F34" s="27">
        <f t="shared" ref="F34:F42" si="7">E34*C34</f>
        <v>7351135.0961538451</v>
      </c>
      <c r="G34" s="27">
        <f>D15*Input!I19</f>
        <v>30325.882650000003</v>
      </c>
      <c r="H34" s="27">
        <f t="shared" ref="H34:H42" si="8">C34*G34</f>
        <v>29159.502548076922</v>
      </c>
      <c r="I34" s="27">
        <f>B16*Input!J19</f>
        <v>654.08766500000002</v>
      </c>
      <c r="J34" s="27">
        <f t="shared" ref="J34:J42" si="9">I34*D34</f>
        <v>604.74081453402357</v>
      </c>
      <c r="K34" s="27">
        <f t="shared" ref="K34:K42" si="10">F16*1000</f>
        <v>65408.766499999998</v>
      </c>
      <c r="L34" s="27">
        <f>G16*Input!N19</f>
        <v>1018572.4948019999</v>
      </c>
      <c r="M34" s="27">
        <f t="shared" si="4"/>
        <v>1083981.2613019999</v>
      </c>
      <c r="N34" s="27">
        <f t="shared" ref="N34:N42" si="11">D34*M34</f>
        <v>1002201.6099315826</v>
      </c>
      <c r="U34" s="27"/>
      <c r="W34" s="42"/>
    </row>
    <row r="35" spans="1:23" x14ac:dyDescent="0.25">
      <c r="A35" s="28">
        <v>3</v>
      </c>
      <c r="B35" s="39">
        <f>Input!D20</f>
        <v>0.04</v>
      </c>
      <c r="C35" s="40">
        <f t="shared" si="5"/>
        <v>0.92455621301775137</v>
      </c>
      <c r="D35" s="40">
        <f t="shared" si="6"/>
        <v>0.88899635867091475</v>
      </c>
      <c r="E35" s="27">
        <f>H16*Input!B20</f>
        <v>6722578.4656932</v>
      </c>
      <c r="F35" s="27">
        <f t="shared" si="7"/>
        <v>6215401.6879559904</v>
      </c>
      <c r="G35" s="27">
        <f>D16*Input!I20</f>
        <v>27199.552472194689</v>
      </c>
      <c r="H35" s="27">
        <f t="shared" si="8"/>
        <v>25147.51522946994</v>
      </c>
      <c r="I35" s="27">
        <f>B17*Input!J20</f>
        <v>739.48363122625199</v>
      </c>
      <c r="J35" s="27">
        <f t="shared" si="9"/>
        <v>657.39825545688359</v>
      </c>
      <c r="K35" s="27">
        <f t="shared" si="10"/>
        <v>73948.363122625189</v>
      </c>
      <c r="L35" s="27">
        <f>G17*Input!N20</f>
        <v>1567048.7263695048</v>
      </c>
      <c r="M35" s="27">
        <f t="shared" si="4"/>
        <v>1640997.0894921301</v>
      </c>
      <c r="N35" s="27">
        <f t="shared" si="11"/>
        <v>1458840.437148073</v>
      </c>
      <c r="U35" s="27"/>
      <c r="W35" s="42"/>
    </row>
    <row r="36" spans="1:23" x14ac:dyDescent="0.25">
      <c r="A36" s="28">
        <v>4</v>
      </c>
      <c r="B36" s="39">
        <f>Input!D21</f>
        <v>0.04</v>
      </c>
      <c r="C36" s="40">
        <f t="shared" si="5"/>
        <v>0.88899635867091475</v>
      </c>
      <c r="D36" s="40">
        <f t="shared" si="6"/>
        <v>0.85480419102972571</v>
      </c>
      <c r="E36" s="27">
        <f>H17*Input!B21</f>
        <v>6044330.8017109474</v>
      </c>
      <c r="F36" s="27">
        <f t="shared" si="7"/>
        <v>5373388.0733234836</v>
      </c>
      <c r="G36" s="27">
        <f>D17*Input!I21</f>
        <v>24944.469672196941</v>
      </c>
      <c r="H36" s="27">
        <f t="shared" si="8"/>
        <v>22175.542707560147</v>
      </c>
      <c r="I36" s="27">
        <f>B18*Input!J21</f>
        <v>765.61523488338662</v>
      </c>
      <c r="J36" s="27">
        <f t="shared" si="9"/>
        <v>654.45111149452669</v>
      </c>
      <c r="K36" s="27">
        <f t="shared" si="10"/>
        <v>76561.523488338644</v>
      </c>
      <c r="L36" s="27">
        <f>G18*Input!N21</f>
        <v>1931980.8846710389</v>
      </c>
      <c r="M36" s="27">
        <f t="shared" si="4"/>
        <v>2008542.4081593775</v>
      </c>
      <c r="N36" s="27">
        <f t="shared" si="11"/>
        <v>1716910.4683555739</v>
      </c>
      <c r="U36" s="27"/>
      <c r="W36" s="42"/>
    </row>
    <row r="37" spans="1:23" x14ac:dyDescent="0.25">
      <c r="A37" s="28">
        <v>5</v>
      </c>
      <c r="B37" s="39">
        <f>Input!D22</f>
        <v>0.04</v>
      </c>
      <c r="C37" s="40">
        <f t="shared" si="5"/>
        <v>0.85480419102972571</v>
      </c>
      <c r="D37" s="40">
        <f t="shared" si="6"/>
        <v>0.82192710675935166</v>
      </c>
      <c r="E37" s="27">
        <f>H18*Input!B22</f>
        <v>5494070.6407832671</v>
      </c>
      <c r="F37" s="27">
        <f t="shared" si="7"/>
        <v>4696354.6095549073</v>
      </c>
      <c r="G37" s="27">
        <f>D18*Input!I22</f>
        <v>23127.061809038503</v>
      </c>
      <c r="H37" s="27">
        <f t="shared" si="8"/>
        <v>19769.109360569622</v>
      </c>
      <c r="I37" s="27">
        <f>B19*Input!J22</f>
        <v>781.37893557806456</v>
      </c>
      <c r="J37" s="27">
        <f t="shared" si="9"/>
        <v>642.23652780238046</v>
      </c>
      <c r="K37" s="27">
        <f t="shared" si="10"/>
        <v>78137.89355780647</v>
      </c>
      <c r="L37" s="27">
        <f>G19*Input!N22</f>
        <v>2097267.9458276597</v>
      </c>
      <c r="M37" s="27">
        <f t="shared" si="4"/>
        <v>2175405.8393854662</v>
      </c>
      <c r="N37" s="27">
        <f t="shared" si="11"/>
        <v>1788025.0275934951</v>
      </c>
      <c r="U37" s="27"/>
      <c r="W37" s="42"/>
    </row>
    <row r="38" spans="1:23" x14ac:dyDescent="0.25">
      <c r="A38" s="28">
        <v>6</v>
      </c>
      <c r="B38" s="39">
        <f>Input!D23</f>
        <v>0.04</v>
      </c>
      <c r="C38" s="40">
        <f t="shared" si="5"/>
        <v>0.82192710675935166</v>
      </c>
      <c r="D38" s="40">
        <f t="shared" si="6"/>
        <v>0.79031452573014582</v>
      </c>
      <c r="E38" s="27">
        <f>H19*Input!B23</f>
        <v>5048075.1719340198</v>
      </c>
      <c r="F38" s="27">
        <f t="shared" si="7"/>
        <v>4149149.8207714455</v>
      </c>
      <c r="G38" s="27">
        <f>D19*Input!I23</f>
        <v>21674.655685055681</v>
      </c>
      <c r="H38" s="27">
        <f t="shared" si="8"/>
        <v>17814.987037222949</v>
      </c>
      <c r="I38" s="27">
        <f>B20*Input!J23</f>
        <v>785.2561378564028</v>
      </c>
      <c r="J38" s="27">
        <f t="shared" si="9"/>
        <v>620.599332166669</v>
      </c>
      <c r="K38" s="27">
        <f t="shared" si="10"/>
        <v>78525.613785640278</v>
      </c>
      <c r="L38" s="27">
        <f>G20*Input!N23</f>
        <v>2117223.3040111908</v>
      </c>
      <c r="M38" s="27">
        <f t="shared" si="4"/>
        <v>2195748.9177968311</v>
      </c>
      <c r="N38" s="27">
        <f t="shared" si="11"/>
        <v>1735332.2645910836</v>
      </c>
      <c r="U38" s="27"/>
      <c r="W38" s="42"/>
    </row>
    <row r="39" spans="1:23" x14ac:dyDescent="0.25">
      <c r="A39" s="28">
        <v>7</v>
      </c>
      <c r="B39" s="39">
        <f>Input!D24</f>
        <v>0.04</v>
      </c>
      <c r="C39" s="40">
        <f t="shared" si="5"/>
        <v>0.79031452573014582</v>
      </c>
      <c r="D39" s="40">
        <f t="shared" si="6"/>
        <v>0.75991781320206331</v>
      </c>
      <c r="E39" s="27">
        <f>H20*Input!B24</f>
        <v>4688137.3160247803</v>
      </c>
      <c r="F39" s="27">
        <f t="shared" si="7"/>
        <v>3705103.0194719229</v>
      </c>
      <c r="G39" s="27">
        <f>D20*Input!I24</f>
        <v>20531.79357310784</v>
      </c>
      <c r="H39" s="27">
        <f t="shared" si="8"/>
        <v>16226.574700119978</v>
      </c>
      <c r="I39" s="27">
        <f>B21*Input!J24</f>
        <v>823.02855103546108</v>
      </c>
      <c r="J39" s="27">
        <f t="shared" si="9"/>
        <v>625.43405670573031</v>
      </c>
      <c r="K39" s="27">
        <f t="shared" si="10"/>
        <v>82302.855103546113</v>
      </c>
      <c r="L39" s="27">
        <f>G21*Input!N24</f>
        <v>2028316.3589283656</v>
      </c>
      <c r="M39" s="27">
        <f t="shared" si="4"/>
        <v>2110619.2140319119</v>
      </c>
      <c r="N39" s="27">
        <f t="shared" si="11"/>
        <v>1603897.1376293881</v>
      </c>
      <c r="U39" s="27"/>
      <c r="W39" s="42"/>
    </row>
    <row r="40" spans="1:23" x14ac:dyDescent="0.25">
      <c r="A40" s="28">
        <v>8</v>
      </c>
      <c r="B40" s="39">
        <f>Input!D25</f>
        <v>0.04</v>
      </c>
      <c r="C40" s="40">
        <f t="shared" si="5"/>
        <v>0.75991781320206331</v>
      </c>
      <c r="D40" s="40">
        <f t="shared" si="6"/>
        <v>0.73069020500198389</v>
      </c>
      <c r="E40" s="27">
        <f>H21*Input!B25</f>
        <v>4399886.2555215331</v>
      </c>
      <c r="F40" s="27">
        <f t="shared" si="7"/>
        <v>3343551.9416337381</v>
      </c>
      <c r="G40" s="27">
        <f>D21*Input!I25</f>
        <v>19654.779981684722</v>
      </c>
      <c r="H40" s="27">
        <f t="shared" si="8"/>
        <v>14936.017422649544</v>
      </c>
      <c r="I40" s="27">
        <f>B22*Input!J25</f>
        <v>870.19972609203626</v>
      </c>
      <c r="J40" s="27">
        <f t="shared" si="9"/>
        <v>635.84641625086022</v>
      </c>
      <c r="K40" s="27">
        <f t="shared" si="10"/>
        <v>87019.972609203614</v>
      </c>
      <c r="L40" s="27">
        <f>G22*Input!N25</f>
        <v>1854422.9933721637</v>
      </c>
      <c r="M40" s="27">
        <f t="shared" si="4"/>
        <v>1941442.9659813673</v>
      </c>
      <c r="N40" s="27">
        <f t="shared" si="11"/>
        <v>1418593.358812585</v>
      </c>
      <c r="U40" s="27"/>
      <c r="W40" s="42"/>
    </row>
    <row r="41" spans="1:23" x14ac:dyDescent="0.25">
      <c r="A41" s="28">
        <v>9</v>
      </c>
      <c r="B41" s="39">
        <f>Input!D26</f>
        <v>0.04</v>
      </c>
      <c r="C41" s="40">
        <f t="shared" si="5"/>
        <v>0.73069020500198389</v>
      </c>
      <c r="D41" s="40">
        <f t="shared" si="6"/>
        <v>0.70258673557883067</v>
      </c>
      <c r="E41" s="27">
        <f>H22*Input!B26</f>
        <v>4172451.73508737</v>
      </c>
      <c r="F41" s="27">
        <f t="shared" si="7"/>
        <v>3048769.6136718737</v>
      </c>
      <c r="G41" s="27">
        <f>D22*Input!I26</f>
        <v>19011.580844644486</v>
      </c>
      <c r="H41" s="27">
        <f t="shared" si="8"/>
        <v>13891.57590478507</v>
      </c>
      <c r="I41" s="27">
        <f>B23*Input!J26</f>
        <v>931.84755416951236</v>
      </c>
      <c r="J41" s="27">
        <f t="shared" si="9"/>
        <v>654.70373114107531</v>
      </c>
      <c r="K41" s="27">
        <f t="shared" si="10"/>
        <v>93184.75541695123</v>
      </c>
      <c r="L41" s="27">
        <f>G23*Input!N26</f>
        <v>1610105.1747452726</v>
      </c>
      <c r="M41" s="27">
        <f t="shared" si="4"/>
        <v>1703289.9301622238</v>
      </c>
      <c r="N41" s="27">
        <f t="shared" si="11"/>
        <v>1196708.9117769713</v>
      </c>
      <c r="U41" s="27"/>
      <c r="W41" s="42"/>
    </row>
    <row r="42" spans="1:23" x14ac:dyDescent="0.25">
      <c r="A42" s="28">
        <v>10</v>
      </c>
      <c r="B42" s="39">
        <f>Input!D27</f>
        <v>0.04</v>
      </c>
      <c r="C42" s="40">
        <f t="shared" si="5"/>
        <v>0.70258673557883067</v>
      </c>
      <c r="D42" s="40">
        <f t="shared" si="6"/>
        <v>0.67556416882579873</v>
      </c>
      <c r="E42" s="27">
        <f>H23*Input!B27</f>
        <v>3997502.5028158505</v>
      </c>
      <c r="F42" s="27">
        <f t="shared" si="7"/>
        <v>2808592.233921594</v>
      </c>
      <c r="G42" s="27">
        <f>D23*Input!I27</f>
        <v>18578.721521750096</v>
      </c>
      <c r="H42" s="27">
        <f t="shared" si="8"/>
        <v>13053.163305194565</v>
      </c>
      <c r="I42" s="27">
        <f>B24*Input!J27</f>
        <v>994.93395625638902</v>
      </c>
      <c r="J42" s="27">
        <f t="shared" si="9"/>
        <v>672.14173119491102</v>
      </c>
      <c r="K42" s="27">
        <f t="shared" si="10"/>
        <v>99493.395625638892</v>
      </c>
      <c r="L42" s="27">
        <f>G24*Input!N27</f>
        <v>44317201.08010602</v>
      </c>
      <c r="M42" s="27">
        <f t="shared" si="4"/>
        <v>44416694.475731656</v>
      </c>
      <c r="N42" s="27">
        <f t="shared" si="11"/>
        <v>30006327.2854871</v>
      </c>
      <c r="U42" s="27"/>
      <c r="W42" s="42"/>
    </row>
    <row r="43" spans="1:23" x14ac:dyDescent="0.25">
      <c r="B43" s="35"/>
      <c r="C43" s="35"/>
      <c r="D43" s="35"/>
      <c r="F43" s="27"/>
      <c r="G43" s="35"/>
      <c r="H43" s="35"/>
      <c r="I43" s="35"/>
      <c r="J43" s="35"/>
    </row>
    <row r="44" spans="1:23" x14ac:dyDescent="0.25">
      <c r="A44" s="28" t="s">
        <v>54</v>
      </c>
      <c r="B44" s="35"/>
      <c r="C44" s="35"/>
      <c r="D44" s="35"/>
      <c r="F44" s="27">
        <f>SUM(F33:F43)</f>
        <v>49691446.096458808</v>
      </c>
      <c r="G44" s="35"/>
      <c r="H44" s="27">
        <f>SUM(H33:H43)</f>
        <v>207173.98821564871</v>
      </c>
      <c r="I44" s="27"/>
      <c r="J44" s="27">
        <f>SUM(J33:J43)</f>
        <v>6373.3212075162901</v>
      </c>
      <c r="N44" s="42">
        <f>SUM(N33:N43)</f>
        <v>41987413.424402773</v>
      </c>
      <c r="P44" s="42"/>
    </row>
    <row r="45" spans="1:23" x14ac:dyDescent="0.25">
      <c r="A45" s="20" t="s">
        <v>55</v>
      </c>
      <c r="B45" s="35"/>
      <c r="C45" s="35"/>
      <c r="D45" s="35"/>
      <c r="G45" s="35"/>
      <c r="H45" s="31">
        <f>H44/F44</f>
        <v>4.1692082740657586E-3</v>
      </c>
      <c r="I45" s="31"/>
      <c r="J45" s="26">
        <f>J44/F44</f>
        <v>1.2825791374927357E-4</v>
      </c>
      <c r="K45" s="35"/>
      <c r="L45" s="35"/>
      <c r="N45" s="31">
        <f>N44/F44</f>
        <v>0.84496259865125856</v>
      </c>
    </row>
    <row r="46" spans="1:23" x14ac:dyDescent="0.25">
      <c r="B46" s="35"/>
      <c r="C46" s="35"/>
      <c r="D46" s="35"/>
      <c r="E46" s="35"/>
      <c r="F46" s="35"/>
      <c r="G46" s="35"/>
      <c r="H46" s="35"/>
      <c r="I46" s="35"/>
      <c r="J46" s="35"/>
    </row>
    <row r="47" spans="1:23" x14ac:dyDescent="0.25">
      <c r="A47" s="20" t="s">
        <v>56</v>
      </c>
      <c r="B47" s="35"/>
      <c r="C47" s="35"/>
      <c r="D47" s="35"/>
      <c r="E47" s="35"/>
      <c r="F47" s="37">
        <f>J45+N45</f>
        <v>0.84509085656500782</v>
      </c>
      <c r="G47" s="35"/>
      <c r="H47" s="35"/>
      <c r="I47" s="35"/>
      <c r="J47" s="35"/>
    </row>
    <row r="48" spans="1:23" x14ac:dyDescent="0.25">
      <c r="B48" s="35"/>
      <c r="C48" s="35"/>
      <c r="D48" s="35"/>
      <c r="E48" s="35"/>
      <c r="F48" s="35"/>
      <c r="G48" s="35"/>
      <c r="H48" s="35"/>
      <c r="I48" s="35"/>
      <c r="J48" s="35"/>
    </row>
    <row r="49" spans="1:14" x14ac:dyDescent="0.25">
      <c r="A49" s="3" t="s">
        <v>57</v>
      </c>
      <c r="B49" s="35"/>
      <c r="C49" s="35"/>
      <c r="D49" s="35"/>
      <c r="E49" s="35"/>
      <c r="F49" s="35">
        <f>F44*F47</f>
        <v>41993786.745610289</v>
      </c>
      <c r="G49" s="35"/>
      <c r="H49" s="35" t="s">
        <v>78</v>
      </c>
      <c r="I49" s="35"/>
      <c r="J49" s="35"/>
    </row>
    <row r="50" spans="1:14" x14ac:dyDescent="0.25">
      <c r="B50" s="35"/>
      <c r="C50" s="35"/>
      <c r="D50" s="35"/>
      <c r="E50" s="35"/>
      <c r="F50" s="35"/>
      <c r="G50" s="35"/>
      <c r="H50" s="35"/>
      <c r="I50" s="35"/>
      <c r="J50" s="35"/>
    </row>
    <row r="51" spans="1:14" x14ac:dyDescent="0.25">
      <c r="C51" s="28"/>
      <c r="D51" s="28"/>
      <c r="G51" s="28"/>
      <c r="H51" s="28"/>
      <c r="I51" s="28"/>
      <c r="J51" s="28"/>
    </row>
    <row r="52" spans="1:14" x14ac:dyDescent="0.25">
      <c r="A52" s="28" t="s">
        <v>0</v>
      </c>
      <c r="B52" s="28"/>
      <c r="C52" s="28" t="s">
        <v>59</v>
      </c>
      <c r="D52" s="28" t="s">
        <v>10</v>
      </c>
      <c r="E52" s="28" t="s">
        <v>76</v>
      </c>
      <c r="F52" s="28" t="s">
        <v>60</v>
      </c>
      <c r="G52" s="28"/>
      <c r="H52" s="28" t="s">
        <v>79</v>
      </c>
      <c r="I52" s="28" t="s">
        <v>80</v>
      </c>
      <c r="J52" s="28" t="s">
        <v>80</v>
      </c>
      <c r="K52" s="28" t="s">
        <v>82</v>
      </c>
      <c r="L52" s="28" t="s">
        <v>83</v>
      </c>
      <c r="M52" s="28"/>
      <c r="N52" s="28"/>
    </row>
    <row r="53" spans="1:14" x14ac:dyDescent="0.25">
      <c r="A53" s="2" t="s">
        <v>1</v>
      </c>
      <c r="B53" s="2" t="s">
        <v>58</v>
      </c>
      <c r="C53" s="2" t="s">
        <v>40</v>
      </c>
      <c r="D53" s="2" t="s">
        <v>32</v>
      </c>
      <c r="E53" s="2" t="s">
        <v>28</v>
      </c>
      <c r="F53" s="2" t="s">
        <v>39</v>
      </c>
      <c r="G53" s="2"/>
      <c r="H53" s="2" t="s">
        <v>1</v>
      </c>
      <c r="I53" s="2" t="s">
        <v>81</v>
      </c>
      <c r="J53" s="2" t="s">
        <v>32</v>
      </c>
      <c r="K53" s="2" t="s">
        <v>28</v>
      </c>
      <c r="L53" s="2" t="s">
        <v>39</v>
      </c>
      <c r="M53" s="2"/>
      <c r="N53" s="2"/>
    </row>
    <row r="54" spans="1:14" x14ac:dyDescent="0.25">
      <c r="A54" s="28"/>
      <c r="F54" s="27">
        <v>0</v>
      </c>
      <c r="H54" s="28">
        <v>0</v>
      </c>
      <c r="I54" s="27">
        <f>NPV($B$33,B55:B$65)*(1+$B$33)</f>
        <v>41993786.745610274</v>
      </c>
      <c r="J54" s="27">
        <f>NPV($B$33,D55:D$65)</f>
        <v>-41987413.424402766</v>
      </c>
      <c r="K54" s="27">
        <f>NPV($B$33,E55:E$65)</f>
        <v>-6373.3212075162901</v>
      </c>
      <c r="L54" s="27">
        <f>F54</f>
        <v>0</v>
      </c>
      <c r="M54" s="27"/>
    </row>
    <row r="55" spans="1:14" x14ac:dyDescent="0.25">
      <c r="A55" s="28">
        <v>1</v>
      </c>
      <c r="B55" s="27">
        <f>F$47*E33</f>
        <v>7605817.7090850705</v>
      </c>
      <c r="C55" s="27">
        <f>B33*(F54+B55)</f>
        <v>304232.70836340281</v>
      </c>
      <c r="D55" s="27">
        <f>-M33</f>
        <v>-63000</v>
      </c>
      <c r="E55" s="27">
        <f>-I33</f>
        <v>-630</v>
      </c>
      <c r="F55" s="27">
        <f>F54+SUM(B55:E55)</f>
        <v>7846420.4174484732</v>
      </c>
      <c r="G55" s="27"/>
      <c r="H55" s="28">
        <v>1</v>
      </c>
      <c r="I55" s="27">
        <f>NPV($B$33,B56:B$65)*(1+$B$33)</f>
        <v>35763487.797986217</v>
      </c>
      <c r="J55" s="27">
        <f>NPV($B$33,D56:D$65)</f>
        <v>-43603909.961378887</v>
      </c>
      <c r="K55" s="27">
        <f>NPV($B$33,E56:E$65)</f>
        <v>-5998.254055816943</v>
      </c>
      <c r="L55" s="27">
        <f>-SUM(I55:K55)</f>
        <v>7846420.4174484871</v>
      </c>
      <c r="M55" s="27"/>
      <c r="N55" s="27"/>
    </row>
    <row r="56" spans="1:14" x14ac:dyDescent="0.25">
      <c r="A56" s="28">
        <v>2</v>
      </c>
      <c r="B56" s="27">
        <f t="shared" ref="B56:B64" si="12">F$47*E34</f>
        <v>6460872.1373390947</v>
      </c>
      <c r="C56" s="27">
        <f t="shared" ref="C56:C64" si="13">B34*(F55+B56)</f>
        <v>572291.70219150279</v>
      </c>
      <c r="D56" s="27">
        <f t="shared" ref="D56:D64" si="14">-M34</f>
        <v>-1083981.2613019999</v>
      </c>
      <c r="E56" s="27">
        <f t="shared" ref="E56:E64" si="15">-I34</f>
        <v>-654.08766500000002</v>
      </c>
      <c r="F56" s="27">
        <f t="shared" ref="F56:F64" si="16">F55+SUM(B56:E56)</f>
        <v>13794948.90801207</v>
      </c>
      <c r="G56" s="27"/>
      <c r="H56" s="28">
        <v>2</v>
      </c>
      <c r="I56" s="27">
        <f>NPV($B$33,B57:B$65)*(1+$B$33)</f>
        <v>30474720.287073012</v>
      </c>
      <c r="J56" s="27">
        <f>NPV($B$33,D57:D$65)</f>
        <v>-44264085.098532036</v>
      </c>
      <c r="K56" s="27">
        <f>NPV($B$33,E57:E$65)</f>
        <v>-5584.0965530496205</v>
      </c>
      <c r="L56" s="27">
        <f t="shared" ref="L56:L64" si="17">-SUM(I56:K56)</f>
        <v>13794948.908012073</v>
      </c>
      <c r="M56" s="27"/>
      <c r="N56" s="27"/>
    </row>
    <row r="57" spans="1:14" x14ac:dyDescent="0.25">
      <c r="A57" s="28">
        <v>3</v>
      </c>
      <c r="B57" s="27">
        <f t="shared" si="12"/>
        <v>5681189.5938981427</v>
      </c>
      <c r="C57" s="27">
        <f t="shared" si="13"/>
        <v>779045.54007640854</v>
      </c>
      <c r="D57" s="27">
        <f t="shared" si="14"/>
        <v>-1640997.0894921301</v>
      </c>
      <c r="E57" s="27">
        <f t="shared" si="15"/>
        <v>-739.48363122625199</v>
      </c>
      <c r="F57" s="27">
        <f t="shared" si="16"/>
        <v>18613447.468863264</v>
      </c>
      <c r="G57" s="27"/>
      <c r="H57" s="28">
        <v>3</v>
      </c>
      <c r="I57" s="27">
        <f>NPV($B$33,B58:B$65)*(1+$B$33)</f>
        <v>25785271.920901865</v>
      </c>
      <c r="J57" s="27">
        <f>NPV($B$33,D58:D$65)</f>
        <v>-44393651.41298119</v>
      </c>
      <c r="K57" s="27">
        <f>NPV($B$33,E58:E$65)</f>
        <v>-5067.9767839453534</v>
      </c>
      <c r="L57" s="27">
        <f t="shared" si="17"/>
        <v>18613447.468863271</v>
      </c>
      <c r="M57" s="27"/>
      <c r="N57" s="27"/>
    </row>
    <row r="58" spans="1:14" x14ac:dyDescent="0.25">
      <c r="A58" s="28">
        <v>4</v>
      </c>
      <c r="B58" s="27">
        <f t="shared" si="12"/>
        <v>5108008.6945801647</v>
      </c>
      <c r="C58" s="27">
        <f t="shared" si="13"/>
        <v>948858.24653773708</v>
      </c>
      <c r="D58" s="27">
        <f t="shared" si="14"/>
        <v>-2008542.4081593775</v>
      </c>
      <c r="E58" s="27">
        <f t="shared" si="15"/>
        <v>-765.61523488338662</v>
      </c>
      <c r="F58" s="27">
        <f t="shared" si="16"/>
        <v>22661006.386586905</v>
      </c>
      <c r="G58" s="27"/>
      <c r="H58" s="28">
        <v>4</v>
      </c>
      <c r="I58" s="27">
        <f>NPV($B$33,B59:B$65)*(1+$B$33)</f>
        <v>21504353.755374569</v>
      </c>
      <c r="J58" s="27">
        <f>NPV($B$33,D59:D$65)</f>
        <v>-44160855.061341062</v>
      </c>
      <c r="K58" s="27">
        <f>NPV($B$33,E59:E$65)</f>
        <v>-4505.0806204197816</v>
      </c>
      <c r="L58" s="27">
        <f t="shared" si="17"/>
        <v>22661006.386586912</v>
      </c>
      <c r="M58" s="27"/>
      <c r="N58" s="27"/>
    </row>
    <row r="59" spans="1:14" x14ac:dyDescent="0.25">
      <c r="A59" s="28">
        <v>5</v>
      </c>
      <c r="B59" s="27">
        <f t="shared" si="12"/>
        <v>4642988.8638481926</v>
      </c>
      <c r="C59" s="27">
        <f t="shared" si="13"/>
        <v>1092159.8100174039</v>
      </c>
      <c r="D59" s="27">
        <f t="shared" si="14"/>
        <v>-2175405.8393854662</v>
      </c>
      <c r="E59" s="27">
        <f t="shared" si="15"/>
        <v>-781.37893557806456</v>
      </c>
      <c r="F59" s="27">
        <f t="shared" si="16"/>
        <v>26219967.842131458</v>
      </c>
      <c r="G59" s="27"/>
      <c r="H59" s="28">
        <v>5</v>
      </c>
      <c r="I59" s="27">
        <f>NPV($B$33,B60:B$65)*(1+$B$33)</f>
        <v>17535819.487187434</v>
      </c>
      <c r="J59" s="27">
        <f>NPV($B$33,D60:D$65)</f>
        <v>-43751883.424409248</v>
      </c>
      <c r="K59" s="27">
        <f>NPV($B$33,E60:E$65)</f>
        <v>-3903.9049096585081</v>
      </c>
      <c r="L59" s="27">
        <f t="shared" si="17"/>
        <v>26219967.842131473</v>
      </c>
      <c r="M59" s="27"/>
      <c r="N59" s="38">
        <f>L59/(H19*1000)</f>
        <v>0.4674647316885629</v>
      </c>
    </row>
    <row r="60" spans="1:14" x14ac:dyDescent="0.25">
      <c r="A60" s="28">
        <v>6</v>
      </c>
      <c r="B60" s="27">
        <f t="shared" si="12"/>
        <v>4266082.1710542701</v>
      </c>
      <c r="C60" s="27">
        <f t="shared" si="13"/>
        <v>1219442.0005274292</v>
      </c>
      <c r="D60" s="27">
        <f t="shared" si="14"/>
        <v>-2195748.9177968311</v>
      </c>
      <c r="E60" s="27">
        <f t="shared" si="15"/>
        <v>-785.2561378564028</v>
      </c>
      <c r="F60" s="27">
        <f t="shared" si="16"/>
        <v>29508957.839778472</v>
      </c>
      <c r="G60" s="27"/>
      <c r="H60" s="28">
        <v>6</v>
      </c>
      <c r="I60" s="27">
        <f>NPV($B$33,B61:B$65)*(1+$B$33)</f>
        <v>13800526.808778491</v>
      </c>
      <c r="J60" s="27">
        <f>NPV($B$33,D61:D$65)</f>
        <v>-43306209.843588792</v>
      </c>
      <c r="K60" s="27">
        <f>NPV($B$33,E61:E$65)</f>
        <v>-3274.8049681884454</v>
      </c>
      <c r="L60" s="27">
        <f t="shared" si="17"/>
        <v>29508957.83977849</v>
      </c>
      <c r="M60" s="27"/>
      <c r="N60" s="27"/>
    </row>
    <row r="61" spans="1:14" x14ac:dyDescent="0.25">
      <c r="A61" s="28">
        <v>7</v>
      </c>
      <c r="B61" s="27">
        <f t="shared" si="12"/>
        <v>3961901.9800937586</v>
      </c>
      <c r="C61" s="27">
        <f t="shared" si="13"/>
        <v>1338834.3927948892</v>
      </c>
      <c r="D61" s="27">
        <f t="shared" si="14"/>
        <v>-2110619.2140319119</v>
      </c>
      <c r="E61" s="27">
        <f t="shared" si="15"/>
        <v>-823.02855103546108</v>
      </c>
      <c r="F61" s="27">
        <f t="shared" si="16"/>
        <v>32698251.970084172</v>
      </c>
      <c r="G61" s="27"/>
      <c r="H61" s="28">
        <v>7</v>
      </c>
      <c r="I61" s="27">
        <f>NPV($B$33,B62:B$65)*(1+$B$33)</f>
        <v>10232169.82183212</v>
      </c>
      <c r="J61" s="27">
        <f>NPV($B$33,D62:D$65)</f>
        <v>-42927839.023300432</v>
      </c>
      <c r="K61" s="27">
        <f>NPV($B$33,E62:E$65)</f>
        <v>-2582.7686158805227</v>
      </c>
      <c r="L61" s="27">
        <f t="shared" si="17"/>
        <v>32698251.97008419</v>
      </c>
      <c r="M61" s="27"/>
      <c r="N61" s="27"/>
    </row>
    <row r="62" spans="1:14" x14ac:dyDescent="0.25">
      <c r="A62" s="28">
        <v>8</v>
      </c>
      <c r="B62" s="27">
        <f t="shared" si="12"/>
        <v>3718303.6444672975</v>
      </c>
      <c r="C62" s="27">
        <f t="shared" si="13"/>
        <v>1456662.2245820588</v>
      </c>
      <c r="D62" s="27">
        <f t="shared" si="14"/>
        <v>-1941442.9659813673</v>
      </c>
      <c r="E62" s="27">
        <f t="shared" si="15"/>
        <v>-870.19972609203626</v>
      </c>
      <c r="F62" s="27">
        <f t="shared" si="16"/>
        <v>35930904.673426069</v>
      </c>
      <c r="G62" s="27"/>
      <c r="H62" s="28">
        <v>8</v>
      </c>
      <c r="I62" s="27">
        <f>NPV($B$33,B63:B$65)*(1+$B$33)</f>
        <v>6774420.8244594168</v>
      </c>
      <c r="J62" s="27">
        <f>NPV($B$33,D63:D$65)</f>
        <v>-42703509.618251078</v>
      </c>
      <c r="K62" s="27">
        <f>NPV($B$33,E63:E$65)</f>
        <v>-1815.8796344237071</v>
      </c>
      <c r="L62" s="27">
        <f t="shared" si="17"/>
        <v>35930904.673426084</v>
      </c>
      <c r="M62" s="27"/>
      <c r="N62" s="27"/>
    </row>
    <row r="63" spans="1:14" x14ac:dyDescent="0.25">
      <c r="A63" s="28">
        <v>9</v>
      </c>
      <c r="B63" s="27">
        <f t="shared" si="12"/>
        <v>3526100.8107811385</v>
      </c>
      <c r="C63" s="27">
        <f t="shared" si="13"/>
        <v>1578280.2193682883</v>
      </c>
      <c r="D63" s="27">
        <f t="shared" si="14"/>
        <v>-1703289.9301622238</v>
      </c>
      <c r="E63" s="27">
        <f t="shared" si="15"/>
        <v>-931.84755416951236</v>
      </c>
      <c r="F63" s="27">
        <f t="shared" si="16"/>
        <v>39331063.925859101</v>
      </c>
      <c r="G63" s="27"/>
      <c r="H63" s="28">
        <v>9</v>
      </c>
      <c r="I63" s="27">
        <f>NPV($B$33,B64:B$65)*(1+$B$33)</f>
        <v>3378252.8142254096</v>
      </c>
      <c r="J63" s="27">
        <f>NPV($B$33,D64:D$65)</f>
        <v>-42708360.072818898</v>
      </c>
      <c r="K63" s="27">
        <f>NPV($B$33,E64:E$65)</f>
        <v>-956.66726563114321</v>
      </c>
      <c r="L63" s="27">
        <f t="shared" si="17"/>
        <v>39331063.925859116</v>
      </c>
      <c r="M63" s="27"/>
      <c r="N63" s="27"/>
    </row>
    <row r="64" spans="1:14" x14ac:dyDescent="0.25">
      <c r="A64" s="28">
        <v>10</v>
      </c>
      <c r="B64" s="27">
        <f t="shared" si="12"/>
        <v>3378252.8142254096</v>
      </c>
      <c r="C64" s="27">
        <f t="shared" si="13"/>
        <v>1708372.6696033806</v>
      </c>
      <c r="D64" s="27">
        <f t="shared" si="14"/>
        <v>-44416694.475731656</v>
      </c>
      <c r="E64" s="27">
        <f t="shared" si="15"/>
        <v>-994.93395625638902</v>
      </c>
      <c r="F64" s="27">
        <f t="shared" si="16"/>
        <v>0</v>
      </c>
      <c r="G64" s="27"/>
      <c r="H64" s="28">
        <v>10</v>
      </c>
      <c r="I64" s="27">
        <f>NPV($B$33,B65:B$65)*(1+$B$33)</f>
        <v>0</v>
      </c>
      <c r="J64" s="27">
        <f>NPV($B$33,D65:D$65)</f>
        <v>0</v>
      </c>
      <c r="K64" s="27">
        <f>NPV($B$33,E65:E$65)</f>
        <v>0</v>
      </c>
      <c r="L64" s="27">
        <f t="shared" si="17"/>
        <v>0</v>
      </c>
      <c r="M64" s="27"/>
      <c r="N64" s="27"/>
    </row>
    <row r="65" spans="1:11" x14ac:dyDescent="0.25">
      <c r="B65" s="35"/>
      <c r="C65" s="35"/>
      <c r="D65" s="35"/>
      <c r="E65" s="35"/>
      <c r="F65" s="35"/>
      <c r="G65" s="35"/>
      <c r="H65" s="35"/>
      <c r="I65" s="35"/>
      <c r="J65" s="35"/>
    </row>
    <row r="66" spans="1:11" x14ac:dyDescent="0.25">
      <c r="A66" s="3" t="s">
        <v>9</v>
      </c>
      <c r="B66" s="43"/>
    </row>
    <row r="67" spans="1:11" x14ac:dyDescent="0.25">
      <c r="A67" s="3"/>
    </row>
    <row r="68" spans="1:11" x14ac:dyDescent="0.25">
      <c r="A68" s="3"/>
    </row>
    <row r="69" spans="1:11" x14ac:dyDescent="0.25">
      <c r="A69" s="3"/>
      <c r="F69" s="28" t="s">
        <v>11</v>
      </c>
    </row>
    <row r="70" spans="1:11" x14ac:dyDescent="0.25">
      <c r="B70" s="28"/>
      <c r="C70" s="28" t="s">
        <v>17</v>
      </c>
      <c r="D70" s="28" t="s">
        <v>10</v>
      </c>
      <c r="F70" s="28" t="s">
        <v>67</v>
      </c>
      <c r="G70" s="28" t="s">
        <v>11</v>
      </c>
    </row>
    <row r="71" spans="1:11" x14ac:dyDescent="0.25">
      <c r="A71" s="28" t="s">
        <v>0</v>
      </c>
      <c r="B71" s="28" t="s">
        <v>17</v>
      </c>
      <c r="C71" s="28" t="s">
        <v>27</v>
      </c>
      <c r="D71" s="28" t="s">
        <v>17</v>
      </c>
      <c r="E71" s="28" t="s">
        <v>42</v>
      </c>
      <c r="F71" s="28" t="s">
        <v>66</v>
      </c>
      <c r="G71" s="28" t="s">
        <v>65</v>
      </c>
      <c r="H71" s="28"/>
      <c r="I71" s="28"/>
      <c r="J71" s="28"/>
    </row>
    <row r="72" spans="1:11" x14ac:dyDescent="0.25">
      <c r="A72" s="2" t="s">
        <v>1</v>
      </c>
      <c r="B72" s="2" t="s">
        <v>6</v>
      </c>
      <c r="C72" s="2" t="s">
        <v>28</v>
      </c>
      <c r="D72" s="2" t="s">
        <v>28</v>
      </c>
      <c r="E72" s="2" t="s">
        <v>26</v>
      </c>
      <c r="F72" s="2" t="s">
        <v>68</v>
      </c>
      <c r="G72" s="2" t="s">
        <v>1</v>
      </c>
      <c r="H72" s="2"/>
      <c r="I72" s="2"/>
      <c r="J72" s="2"/>
    </row>
    <row r="73" spans="1:11" x14ac:dyDescent="0.25">
      <c r="E73" s="36">
        <f t="shared" ref="E73:E83" si="18">H14</f>
        <v>100000</v>
      </c>
    </row>
    <row r="74" spans="1:11" x14ac:dyDescent="0.25">
      <c r="A74" s="20">
        <v>1</v>
      </c>
      <c r="B74" s="36">
        <f>Input!F18*'Actuarial balances'!E33</f>
        <v>6300000</v>
      </c>
      <c r="C74" s="36">
        <f>Input!H18*'Actuarial balances'!D14</f>
        <v>100000</v>
      </c>
      <c r="D74" s="36">
        <f>B74+C74</f>
        <v>6400000</v>
      </c>
      <c r="E74" s="36">
        <f t="shared" si="18"/>
        <v>84946.45</v>
      </c>
      <c r="F74" s="31">
        <f t="shared" ref="F74:F83" si="19">E73/E$85</f>
        <v>0.15730906858500568</v>
      </c>
      <c r="G74" s="36">
        <f t="shared" ref="G74:G83" si="20">D$74*F74</f>
        <v>1006778.0389440364</v>
      </c>
      <c r="J74" s="44"/>
      <c r="K74" s="36"/>
    </row>
    <row r="75" spans="1:11" x14ac:dyDescent="0.25">
      <c r="A75" s="20">
        <v>2</v>
      </c>
      <c r="B75" s="36">
        <f>Input!F19*'Actuarial balances'!E34</f>
        <v>0</v>
      </c>
      <c r="C75" s="36">
        <v>0</v>
      </c>
      <c r="D75" s="36">
        <v>0</v>
      </c>
      <c r="E75" s="36">
        <f t="shared" si="18"/>
        <v>74695.316285480003</v>
      </c>
      <c r="F75" s="31">
        <f t="shared" si="19"/>
        <v>0.13362846929102754</v>
      </c>
      <c r="G75" s="36">
        <f t="shared" si="20"/>
        <v>855222.20346257626</v>
      </c>
      <c r="J75" s="36"/>
    </row>
    <row r="76" spans="1:11" x14ac:dyDescent="0.25">
      <c r="A76" s="20">
        <v>3</v>
      </c>
      <c r="B76" s="36">
        <f>Input!F20*'Actuarial balances'!E35</f>
        <v>0</v>
      </c>
      <c r="C76" s="36">
        <v>0</v>
      </c>
      <c r="D76" s="36">
        <v>0</v>
      </c>
      <c r="E76" s="36">
        <f t="shared" si="18"/>
        <v>67159.23113012164</v>
      </c>
      <c r="F76" s="31">
        <f t="shared" si="19"/>
        <v>0.11750250632531264</v>
      </c>
      <c r="G76" s="36">
        <f t="shared" si="20"/>
        <v>752016.04048200091</v>
      </c>
    </row>
    <row r="77" spans="1:11" x14ac:dyDescent="0.25">
      <c r="A77" s="20">
        <v>4</v>
      </c>
      <c r="B77" s="36">
        <f>Input!F21*'Actuarial balances'!E36</f>
        <v>0</v>
      </c>
      <c r="C77" s="36">
        <v>0</v>
      </c>
      <c r="D77" s="36">
        <v>0</v>
      </c>
      <c r="E77" s="36">
        <f t="shared" si="18"/>
        <v>61045.229342036298</v>
      </c>
      <c r="F77" s="31">
        <f t="shared" si="19"/>
        <v>0.10564756095964553</v>
      </c>
      <c r="G77" s="36">
        <f t="shared" si="20"/>
        <v>676144.39014173136</v>
      </c>
    </row>
    <row r="78" spans="1:11" x14ac:dyDescent="0.25">
      <c r="A78" s="20">
        <v>5</v>
      </c>
      <c r="B78" s="36">
        <f>Input!F22*'Actuarial balances'!E37</f>
        <v>0</v>
      </c>
      <c r="C78" s="36">
        <v>0</v>
      </c>
      <c r="D78" s="36">
        <v>0</v>
      </c>
      <c r="E78" s="36">
        <f t="shared" si="18"/>
        <v>56089.724132600219</v>
      </c>
      <c r="F78" s="31">
        <f t="shared" si="19"/>
        <v>9.6029681693537886E-2</v>
      </c>
      <c r="G78" s="36">
        <f t="shared" si="20"/>
        <v>614589.96283864242</v>
      </c>
    </row>
    <row r="79" spans="1:11" x14ac:dyDescent="0.25">
      <c r="A79" s="20">
        <v>6</v>
      </c>
      <c r="B79" s="36">
        <f>Input!F23*'Actuarial balances'!E38</f>
        <v>0</v>
      </c>
      <c r="C79" s="36">
        <v>0</v>
      </c>
      <c r="D79" s="36">
        <v>0</v>
      </c>
      <c r="E79" s="36">
        <f t="shared" si="18"/>
        <v>52090.414622497556</v>
      </c>
      <c r="F79" s="31">
        <f t="shared" si="19"/>
        <v>8.8234222604892554E-2</v>
      </c>
      <c r="G79" s="36">
        <f t="shared" si="20"/>
        <v>564699.02467131231</v>
      </c>
    </row>
    <row r="80" spans="1:11" x14ac:dyDescent="0.25">
      <c r="A80" s="20">
        <v>7</v>
      </c>
      <c r="B80" s="36">
        <f>Input!F24*'Actuarial balances'!E39</f>
        <v>0</v>
      </c>
      <c r="C80" s="36">
        <v>0</v>
      </c>
      <c r="D80" s="36">
        <v>0</v>
      </c>
      <c r="E80" s="36">
        <f t="shared" si="18"/>
        <v>48887.625061350373</v>
      </c>
      <c r="F80" s="31">
        <f t="shared" si="19"/>
        <v>8.1942946064718497E-2</v>
      </c>
      <c r="G80" s="36">
        <f t="shared" si="20"/>
        <v>524434.85481419833</v>
      </c>
      <c r="J80" s="44"/>
    </row>
    <row r="81" spans="1:7" x14ac:dyDescent="0.25">
      <c r="A81" s="20">
        <v>8</v>
      </c>
      <c r="B81" s="36">
        <f>Input!F25*'Actuarial balances'!E40</f>
        <v>0</v>
      </c>
      <c r="C81" s="36">
        <v>0</v>
      </c>
      <c r="D81" s="36">
        <v>0</v>
      </c>
      <c r="E81" s="36">
        <f t="shared" si="18"/>
        <v>46360.574834304112</v>
      </c>
      <c r="F81" s="31">
        <f t="shared" si="19"/>
        <v>7.6904667637340079E-2</v>
      </c>
      <c r="G81" s="36">
        <f t="shared" si="20"/>
        <v>492189.87287897652</v>
      </c>
    </row>
    <row r="82" spans="1:7" x14ac:dyDescent="0.25">
      <c r="A82" s="20">
        <v>9</v>
      </c>
      <c r="B82" s="36">
        <f>Input!F26*'Actuarial balances'!E41</f>
        <v>0</v>
      </c>
      <c r="C82" s="36">
        <v>0</v>
      </c>
      <c r="D82" s="36">
        <v>0</v>
      </c>
      <c r="E82" s="36">
        <f t="shared" si="18"/>
        <v>44416.694475731674</v>
      </c>
      <c r="F82" s="31">
        <f t="shared" si="19"/>
        <v>7.2929388462498329E-2</v>
      </c>
      <c r="G82" s="36">
        <f t="shared" si="20"/>
        <v>466748.0861599893</v>
      </c>
    </row>
    <row r="83" spans="1:7" x14ac:dyDescent="0.25">
      <c r="A83" s="20">
        <v>10</v>
      </c>
      <c r="B83" s="36">
        <f>Input!F27*'Actuarial balances'!E42</f>
        <v>0</v>
      </c>
      <c r="C83" s="36">
        <v>0</v>
      </c>
      <c r="D83" s="36">
        <v>0</v>
      </c>
      <c r="E83" s="36">
        <f t="shared" si="18"/>
        <v>0</v>
      </c>
      <c r="F83" s="31">
        <f t="shared" si="19"/>
        <v>6.9871488376021168E-2</v>
      </c>
      <c r="G83" s="36">
        <f t="shared" si="20"/>
        <v>447177.52560653549</v>
      </c>
    </row>
    <row r="84" spans="1:7" x14ac:dyDescent="0.25">
      <c r="B84" s="36"/>
      <c r="C84" s="36"/>
      <c r="D84" s="36"/>
      <c r="E84" s="36"/>
    </row>
    <row r="85" spans="1:7" x14ac:dyDescent="0.25">
      <c r="A85" s="28" t="s">
        <v>64</v>
      </c>
      <c r="B85" s="36"/>
      <c r="C85" s="36"/>
      <c r="D85" s="36"/>
      <c r="E85" s="36">
        <f>SUM(E73:E84)</f>
        <v>635691.25988412194</v>
      </c>
      <c r="G85" s="36"/>
    </row>
    <row r="86" spans="1:7" x14ac:dyDescent="0.25">
      <c r="B86" s="36"/>
      <c r="C86" s="36"/>
      <c r="D86" s="36"/>
      <c r="E86" s="41"/>
    </row>
    <row r="87" spans="1:7" x14ac:dyDescent="0.25">
      <c r="A87" s="3" t="s">
        <v>29</v>
      </c>
    </row>
    <row r="88" spans="1:7" x14ac:dyDescent="0.25">
      <c r="A88" s="3"/>
    </row>
    <row r="89" spans="1:7" x14ac:dyDescent="0.25">
      <c r="B89" s="28"/>
      <c r="C89" s="28"/>
      <c r="D89" s="28" t="s">
        <v>9</v>
      </c>
    </row>
    <row r="90" spans="1:7" x14ac:dyDescent="0.25">
      <c r="B90" s="2" t="s">
        <v>30</v>
      </c>
      <c r="C90" s="2" t="s">
        <v>11</v>
      </c>
      <c r="D90" s="2" t="s">
        <v>26</v>
      </c>
    </row>
    <row r="91" spans="1:7" x14ac:dyDescent="0.25">
      <c r="D91" s="36">
        <v>0</v>
      </c>
    </row>
    <row r="92" spans="1:7" x14ac:dyDescent="0.25">
      <c r="A92" s="20">
        <v>1</v>
      </c>
      <c r="B92" s="36">
        <f t="shared" ref="B92:B101" si="21">D74</f>
        <v>6400000</v>
      </c>
      <c r="C92" s="36">
        <f t="shared" ref="C92:C101" si="22">-G74</f>
        <v>-1006778.0389440364</v>
      </c>
      <c r="D92" s="36">
        <f>D91+B92+C92</f>
        <v>5393221.9610559633</v>
      </c>
    </row>
    <row r="93" spans="1:7" x14ac:dyDescent="0.25">
      <c r="A93" s="20">
        <v>2</v>
      </c>
      <c r="B93" s="36">
        <f t="shared" si="21"/>
        <v>0</v>
      </c>
      <c r="C93" s="36">
        <f t="shared" si="22"/>
        <v>-855222.20346257626</v>
      </c>
      <c r="D93" s="36">
        <f t="shared" ref="D93:D101" si="23">D92+B93+C93</f>
        <v>4537999.7575933868</v>
      </c>
    </row>
    <row r="94" spans="1:7" x14ac:dyDescent="0.25">
      <c r="A94" s="20">
        <v>3</v>
      </c>
      <c r="B94" s="36">
        <f t="shared" si="21"/>
        <v>0</v>
      </c>
      <c r="C94" s="36">
        <f t="shared" si="22"/>
        <v>-752016.04048200091</v>
      </c>
      <c r="D94" s="36">
        <f t="shared" si="23"/>
        <v>3785983.7171113859</v>
      </c>
    </row>
    <row r="95" spans="1:7" x14ac:dyDescent="0.25">
      <c r="A95" s="20">
        <v>4</v>
      </c>
      <c r="B95" s="36">
        <f t="shared" si="21"/>
        <v>0</v>
      </c>
      <c r="C95" s="36">
        <f t="shared" si="22"/>
        <v>-676144.39014173136</v>
      </c>
      <c r="D95" s="36">
        <f t="shared" si="23"/>
        <v>3109839.3269696543</v>
      </c>
    </row>
    <row r="96" spans="1:7" x14ac:dyDescent="0.25">
      <c r="A96" s="20">
        <v>5</v>
      </c>
      <c r="B96" s="36">
        <f t="shared" si="21"/>
        <v>0</v>
      </c>
      <c r="C96" s="36">
        <f t="shared" si="22"/>
        <v>-614589.96283864242</v>
      </c>
      <c r="D96" s="36">
        <f t="shared" si="23"/>
        <v>2495249.364131012</v>
      </c>
    </row>
    <row r="97" spans="1:10" x14ac:dyDescent="0.25">
      <c r="A97" s="20">
        <v>6</v>
      </c>
      <c r="B97" s="36">
        <f t="shared" si="21"/>
        <v>0</v>
      </c>
      <c r="C97" s="36">
        <f t="shared" si="22"/>
        <v>-564699.02467131231</v>
      </c>
      <c r="D97" s="36">
        <f t="shared" si="23"/>
        <v>1930550.3394596996</v>
      </c>
    </row>
    <row r="98" spans="1:10" x14ac:dyDescent="0.25">
      <c r="A98" s="20">
        <v>7</v>
      </c>
      <c r="B98" s="36">
        <f t="shared" si="21"/>
        <v>0</v>
      </c>
      <c r="C98" s="36">
        <f t="shared" si="22"/>
        <v>-524434.85481419833</v>
      </c>
      <c r="D98" s="36">
        <f t="shared" si="23"/>
        <v>1406115.4846455012</v>
      </c>
    </row>
    <row r="99" spans="1:10" x14ac:dyDescent="0.25">
      <c r="A99" s="20">
        <v>8</v>
      </c>
      <c r="B99" s="36">
        <f t="shared" si="21"/>
        <v>0</v>
      </c>
      <c r="C99" s="36">
        <f t="shared" si="22"/>
        <v>-492189.87287897652</v>
      </c>
      <c r="D99" s="36">
        <f t="shared" si="23"/>
        <v>913925.61176652473</v>
      </c>
    </row>
    <row r="100" spans="1:10" x14ac:dyDescent="0.25">
      <c r="A100" s="20">
        <v>9</v>
      </c>
      <c r="B100" s="36">
        <f t="shared" si="21"/>
        <v>0</v>
      </c>
      <c r="C100" s="36">
        <f t="shared" si="22"/>
        <v>-466748.0861599893</v>
      </c>
      <c r="D100" s="36">
        <f t="shared" si="23"/>
        <v>447177.52560653543</v>
      </c>
    </row>
    <row r="101" spans="1:10" x14ac:dyDescent="0.25">
      <c r="A101" s="20">
        <v>10</v>
      </c>
      <c r="B101" s="36">
        <f t="shared" si="21"/>
        <v>0</v>
      </c>
      <c r="C101" s="36">
        <f t="shared" si="22"/>
        <v>-447177.52560653549</v>
      </c>
      <c r="D101" s="36">
        <f t="shared" si="23"/>
        <v>0</v>
      </c>
    </row>
    <row r="102" spans="1:10" x14ac:dyDescent="0.25">
      <c r="B102" s="36"/>
      <c r="C102" s="36"/>
      <c r="D102" s="36"/>
    </row>
    <row r="103" spans="1:10" x14ac:dyDescent="0.25">
      <c r="A103" s="4" t="s">
        <v>62</v>
      </c>
      <c r="B103" s="1"/>
      <c r="C103" s="1"/>
      <c r="D103" s="1"/>
    </row>
    <row r="105" spans="1:10" x14ac:dyDescent="0.25">
      <c r="A105" s="3" t="s">
        <v>25</v>
      </c>
      <c r="B105" s="3"/>
      <c r="C105" s="3"/>
      <c r="D105" s="3"/>
    </row>
    <row r="107" spans="1:10" x14ac:dyDescent="0.25">
      <c r="A107" s="28" t="s">
        <v>0</v>
      </c>
      <c r="B107" s="28" t="s">
        <v>50</v>
      </c>
      <c r="C107" s="28" t="s">
        <v>50</v>
      </c>
      <c r="D107" s="28" t="s">
        <v>22</v>
      </c>
      <c r="F107" s="28" t="s">
        <v>51</v>
      </c>
      <c r="G107" s="28" t="s">
        <v>51</v>
      </c>
      <c r="H107" s="28" t="s">
        <v>42</v>
      </c>
      <c r="I107" s="28"/>
      <c r="J107" s="28"/>
    </row>
    <row r="108" spans="1:10" x14ac:dyDescent="0.25">
      <c r="A108" s="2" t="s">
        <v>1</v>
      </c>
      <c r="B108" s="2" t="s">
        <v>23</v>
      </c>
      <c r="C108" s="2" t="s">
        <v>24</v>
      </c>
      <c r="D108" s="2" t="s">
        <v>26</v>
      </c>
      <c r="F108" s="2" t="s">
        <v>23</v>
      </c>
      <c r="G108" s="2" t="s">
        <v>24</v>
      </c>
      <c r="H108" s="2" t="s">
        <v>26</v>
      </c>
      <c r="I108" s="2"/>
      <c r="J108" s="2"/>
    </row>
    <row r="109" spans="1:10" x14ac:dyDescent="0.25">
      <c r="D109" s="35">
        <f>Input!B31</f>
        <v>1000</v>
      </c>
      <c r="H109" s="36">
        <f>D109*Input!B$32</f>
        <v>100000</v>
      </c>
      <c r="I109" s="36"/>
      <c r="J109" s="36"/>
    </row>
    <row r="110" spans="1:10" x14ac:dyDescent="0.25">
      <c r="A110" s="20">
        <v>1</v>
      </c>
      <c r="B110" s="30">
        <f>Input!L39*'Actuarial balances'!D109</f>
        <v>0.63</v>
      </c>
      <c r="C110" s="35">
        <f>Input!M39*('Actuarial balances'!D109-'Actuarial balances'!B110)</f>
        <v>149.90549999999999</v>
      </c>
      <c r="D110" s="35">
        <f t="shared" ref="D110:D119" si="24">D109-B110-C110</f>
        <v>849.46450000000004</v>
      </c>
      <c r="E110" s="45"/>
      <c r="F110" s="36">
        <f>H$109/D$109*B110</f>
        <v>63</v>
      </c>
      <c r="G110" s="36">
        <f>H$109/D$109*C110</f>
        <v>14990.55</v>
      </c>
      <c r="H110" s="36">
        <f t="shared" ref="H110:H119" si="25">H109-F110-G110</f>
        <v>84946.45</v>
      </c>
      <c r="I110" s="36"/>
      <c r="J110" s="36"/>
    </row>
    <row r="111" spans="1:10" x14ac:dyDescent="0.25">
      <c r="A111" s="20">
        <v>2</v>
      </c>
      <c r="B111" s="30">
        <f>Input!L40*'Actuarial balances'!D110</f>
        <v>0.65408766500000004</v>
      </c>
      <c r="C111" s="35">
        <f>Input!M40*('Actuarial balances'!D110-'Actuarial balances'!B111)</f>
        <v>101.8572494802</v>
      </c>
      <c r="D111" s="35">
        <f t="shared" si="24"/>
        <v>746.95316285479998</v>
      </c>
      <c r="E111" s="45"/>
      <c r="F111" s="36">
        <f t="shared" ref="F111:F119" si="26">H$109/D$109*B111</f>
        <v>65.408766499999999</v>
      </c>
      <c r="G111" s="36">
        <f t="shared" ref="G111:G119" si="27">H$109/D$109*C111</f>
        <v>10185.724948019999</v>
      </c>
      <c r="H111" s="36">
        <f t="shared" si="25"/>
        <v>74695.316285480003</v>
      </c>
      <c r="I111" s="36"/>
      <c r="J111" s="36"/>
    </row>
    <row r="112" spans="1:10" x14ac:dyDescent="0.25">
      <c r="A112" s="20">
        <v>3</v>
      </c>
      <c r="B112" s="30">
        <f>Input!L41*'Actuarial balances'!D111</f>
        <v>0.73948363122625194</v>
      </c>
      <c r="C112" s="35">
        <f>Input!M41*('Actuarial balances'!D111-'Actuarial balances'!B112)</f>
        <v>74.621367922357379</v>
      </c>
      <c r="D112" s="35">
        <f t="shared" si="24"/>
        <v>671.59231130121634</v>
      </c>
      <c r="E112" s="45"/>
      <c r="F112" s="36">
        <f t="shared" si="26"/>
        <v>73.948363122625196</v>
      </c>
      <c r="G112" s="36">
        <f t="shared" si="27"/>
        <v>7462.1367922357376</v>
      </c>
      <c r="H112" s="36">
        <f t="shared" si="25"/>
        <v>67159.23113012164</v>
      </c>
      <c r="I112" s="36"/>
      <c r="J112" s="36"/>
    </row>
    <row r="113" spans="1:14" x14ac:dyDescent="0.25">
      <c r="A113" s="20">
        <v>4</v>
      </c>
      <c r="B113" s="30">
        <f>Input!L42*'Actuarial balances'!D112</f>
        <v>0.76561523488338656</v>
      </c>
      <c r="C113" s="35">
        <f>Input!M42*('Actuarial balances'!D112-'Actuarial balances'!B113)</f>
        <v>60.374402645969965</v>
      </c>
      <c r="D113" s="35">
        <f t="shared" si="24"/>
        <v>610.45229342036293</v>
      </c>
      <c r="E113" s="45"/>
      <c r="F113" s="36">
        <f t="shared" si="26"/>
        <v>76.561523488338651</v>
      </c>
      <c r="G113" s="36">
        <f t="shared" si="27"/>
        <v>6037.4402645969967</v>
      </c>
      <c r="H113" s="36">
        <f t="shared" si="25"/>
        <v>61045.229342036298</v>
      </c>
      <c r="I113" s="36"/>
      <c r="J113" s="36"/>
    </row>
    <row r="114" spans="1:14" x14ac:dyDescent="0.25">
      <c r="A114" s="20">
        <v>5</v>
      </c>
      <c r="B114" s="30">
        <f>Input!L43*'Actuarial balances'!D113</f>
        <v>0.97672366947258071</v>
      </c>
      <c r="C114" s="35">
        <f>Input!M43*('Actuarial balances'!D113-'Actuarial balances'!B114)</f>
        <v>48.758045580071233</v>
      </c>
      <c r="D114" s="35">
        <f t="shared" si="24"/>
        <v>560.71752417081916</v>
      </c>
      <c r="E114" s="45"/>
      <c r="F114" s="36">
        <f t="shared" si="26"/>
        <v>97.67236694725807</v>
      </c>
      <c r="G114" s="36">
        <f t="shared" si="27"/>
        <v>4875.804558007123</v>
      </c>
      <c r="H114" s="36">
        <f t="shared" si="25"/>
        <v>56071.752417081923</v>
      </c>
      <c r="I114" s="36"/>
      <c r="J114" s="36"/>
    </row>
    <row r="115" spans="1:14" x14ac:dyDescent="0.25">
      <c r="A115" s="20">
        <v>6</v>
      </c>
      <c r="B115" s="30">
        <f>Input!L44*'Actuarial balances'!D114</f>
        <v>0.78500453383914681</v>
      </c>
      <c r="C115" s="35">
        <f>Input!M44*('Actuarial balances'!D114-'Actuarial balances'!B115)</f>
        <v>39.195276374588609</v>
      </c>
      <c r="D115" s="35">
        <f t="shared" si="24"/>
        <v>520.73724326239142</v>
      </c>
      <c r="E115" s="45"/>
      <c r="F115" s="36">
        <f t="shared" si="26"/>
        <v>78.500453383914675</v>
      </c>
      <c r="G115" s="36">
        <f t="shared" si="27"/>
        <v>3919.5276374588607</v>
      </c>
      <c r="H115" s="36">
        <f t="shared" si="25"/>
        <v>52073.724326239149</v>
      </c>
      <c r="I115" s="36"/>
      <c r="J115" s="36"/>
    </row>
    <row r="116" spans="1:14" x14ac:dyDescent="0.25">
      <c r="A116" s="20">
        <v>7</v>
      </c>
      <c r="B116" s="30">
        <f>Input!L45*'Actuarial balances'!D115</f>
        <v>0.82276484435457842</v>
      </c>
      <c r="C116" s="35">
        <f>Input!M45*('Actuarial balances'!D115-'Actuarial balances'!B116)</f>
        <v>31.194868705082211</v>
      </c>
      <c r="D116" s="35">
        <f t="shared" si="24"/>
        <v>488.71960971295465</v>
      </c>
      <c r="E116" s="45"/>
      <c r="F116" s="36">
        <f t="shared" si="26"/>
        <v>82.276484435457846</v>
      </c>
      <c r="G116" s="36">
        <f t="shared" si="27"/>
        <v>3119.4868705082213</v>
      </c>
      <c r="H116" s="36">
        <f t="shared" si="25"/>
        <v>48871.96097129547</v>
      </c>
      <c r="I116" s="36"/>
      <c r="J116" s="36"/>
    </row>
    <row r="117" spans="1:14" x14ac:dyDescent="0.25">
      <c r="A117" s="20">
        <v>8</v>
      </c>
      <c r="B117" s="30">
        <f>Input!L46*'Actuarial balances'!D116</f>
        <v>0.86992090528905919</v>
      </c>
      <c r="C117" s="35">
        <f>Input!M46*('Actuarial balances'!D116-'Actuarial balances'!B117)</f>
        <v>24.392484440383281</v>
      </c>
      <c r="D117" s="35">
        <f t="shared" si="24"/>
        <v>463.45720436728232</v>
      </c>
      <c r="E117" s="45"/>
      <c r="F117" s="36">
        <f t="shared" si="26"/>
        <v>86.992090528905919</v>
      </c>
      <c r="G117" s="36">
        <f t="shared" si="27"/>
        <v>2439.2484440383282</v>
      </c>
      <c r="H117" s="36">
        <f t="shared" si="25"/>
        <v>46345.720436728239</v>
      </c>
      <c r="I117" s="36"/>
      <c r="J117" s="36"/>
    </row>
    <row r="118" spans="1:14" x14ac:dyDescent="0.25">
      <c r="A118" s="20">
        <v>9</v>
      </c>
      <c r="B118" s="30">
        <f>Input!L47*'Actuarial balances'!D117</f>
        <v>0.93154898077823745</v>
      </c>
      <c r="C118" s="35">
        <f>Input!M47*('Actuarial balances'!D117-'Actuarial balances'!B118)</f>
        <v>18.501026215460165</v>
      </c>
      <c r="D118" s="35">
        <f t="shared" si="24"/>
        <v>444.0246291710439</v>
      </c>
      <c r="E118" s="45"/>
      <c r="F118" s="36">
        <f t="shared" si="26"/>
        <v>93.154898077823745</v>
      </c>
      <c r="G118" s="36">
        <f t="shared" si="27"/>
        <v>1850.1026215460165</v>
      </c>
      <c r="H118" s="36">
        <f t="shared" si="25"/>
        <v>44402.4629171044</v>
      </c>
      <c r="I118" s="36"/>
      <c r="J118" s="36"/>
    </row>
    <row r="119" spans="1:14" x14ac:dyDescent="0.25">
      <c r="A119" s="20">
        <v>10</v>
      </c>
      <c r="B119" s="30">
        <f>Input!L48*'Actuarial balances'!D118</f>
        <v>0.99461516934313821</v>
      </c>
      <c r="C119" s="35">
        <f>Input!M48*('Actuarial balances'!D118-'Actuarial balances'!B119)</f>
        <v>443.03001400170075</v>
      </c>
      <c r="D119" s="35">
        <f t="shared" si="24"/>
        <v>0</v>
      </c>
      <c r="E119" s="45"/>
      <c r="F119" s="36">
        <f t="shared" si="26"/>
        <v>99.461516934313821</v>
      </c>
      <c r="G119" s="36">
        <f t="shared" si="27"/>
        <v>44303.001400170077</v>
      </c>
      <c r="H119" s="36">
        <f t="shared" si="25"/>
        <v>0</v>
      </c>
      <c r="I119" s="36"/>
      <c r="J119" s="36"/>
    </row>
    <row r="120" spans="1:14" x14ac:dyDescent="0.25">
      <c r="B120" s="35"/>
      <c r="C120" s="35"/>
      <c r="D120" s="35"/>
      <c r="E120" s="35"/>
      <c r="F120" s="35"/>
      <c r="G120" s="35"/>
      <c r="H120" s="35"/>
      <c r="I120" s="35"/>
      <c r="J120" s="35"/>
    </row>
    <row r="121" spans="1:14" x14ac:dyDescent="0.25">
      <c r="A121" s="3" t="s">
        <v>43</v>
      </c>
    </row>
    <row r="123" spans="1:14" x14ac:dyDescent="0.25">
      <c r="B123" s="38"/>
    </row>
    <row r="124" spans="1:14" x14ac:dyDescent="0.25">
      <c r="C124" s="28" t="s">
        <v>47</v>
      </c>
      <c r="D124" s="28" t="s">
        <v>48</v>
      </c>
      <c r="G124" s="28"/>
      <c r="H124" s="28" t="s">
        <v>49</v>
      </c>
      <c r="I124" s="28"/>
      <c r="J124" s="28" t="s">
        <v>77</v>
      </c>
    </row>
    <row r="125" spans="1:14" x14ac:dyDescent="0.25">
      <c r="A125" s="28" t="s">
        <v>0</v>
      </c>
      <c r="B125" s="28" t="s">
        <v>39</v>
      </c>
      <c r="C125" s="28" t="s">
        <v>38</v>
      </c>
      <c r="D125" s="28" t="s">
        <v>38</v>
      </c>
      <c r="F125" s="28"/>
      <c r="G125" s="28" t="s">
        <v>7</v>
      </c>
      <c r="H125" s="28" t="s">
        <v>7</v>
      </c>
      <c r="I125" s="28" t="s">
        <v>76</v>
      </c>
      <c r="J125" s="28" t="s">
        <v>76</v>
      </c>
      <c r="K125" s="28" t="s">
        <v>31</v>
      </c>
      <c r="L125" s="28" t="s">
        <v>8</v>
      </c>
      <c r="M125" s="28" t="s">
        <v>10</v>
      </c>
      <c r="N125" s="28" t="s">
        <v>53</v>
      </c>
    </row>
    <row r="126" spans="1:14" x14ac:dyDescent="0.25">
      <c r="A126" s="2" t="s">
        <v>1</v>
      </c>
      <c r="B126" s="2" t="s">
        <v>46</v>
      </c>
      <c r="C126" s="2" t="s">
        <v>44</v>
      </c>
      <c r="D126" s="2" t="s">
        <v>44</v>
      </c>
      <c r="E126" s="2" t="s">
        <v>4</v>
      </c>
      <c r="F126" s="2" t="s">
        <v>45</v>
      </c>
      <c r="G126" s="2" t="s">
        <v>5</v>
      </c>
      <c r="H126" s="2" t="s">
        <v>5</v>
      </c>
      <c r="I126" s="2" t="s">
        <v>5</v>
      </c>
      <c r="J126" s="2" t="s">
        <v>5</v>
      </c>
      <c r="K126" s="2" t="s">
        <v>32</v>
      </c>
      <c r="L126" s="2" t="s">
        <v>32</v>
      </c>
      <c r="M126" s="2" t="s">
        <v>32</v>
      </c>
      <c r="N126" s="2" t="s">
        <v>32</v>
      </c>
    </row>
    <row r="127" spans="1:14" x14ac:dyDescent="0.25">
      <c r="A127" s="28"/>
    </row>
    <row r="128" spans="1:14" x14ac:dyDescent="0.25">
      <c r="A128" s="28">
        <v>1</v>
      </c>
      <c r="B128" s="39">
        <f>Input!D39</f>
        <v>0.04</v>
      </c>
      <c r="C128" s="40">
        <v>1</v>
      </c>
      <c r="D128" s="41">
        <f>C129</f>
        <v>0.96153846153846145</v>
      </c>
      <c r="E128" s="27">
        <f>H109*Input!B39</f>
        <v>9000000</v>
      </c>
      <c r="F128" s="27">
        <f>E128*C128</f>
        <v>9000000</v>
      </c>
      <c r="G128" s="27">
        <f>D109*Input!I39</f>
        <v>35000</v>
      </c>
      <c r="H128" s="27">
        <f>C128*G128</f>
        <v>35000</v>
      </c>
      <c r="I128" s="27">
        <f>B110*Input!J39</f>
        <v>630</v>
      </c>
      <c r="J128" s="27">
        <f>I128*D128</f>
        <v>605.76923076923072</v>
      </c>
      <c r="K128" s="27">
        <f>F110*1000</f>
        <v>63000</v>
      </c>
      <c r="L128" s="27">
        <f>G110*Input!N39</f>
        <v>0</v>
      </c>
      <c r="M128" s="27">
        <f t="shared" ref="M128:M137" si="28">K128+L128</f>
        <v>63000</v>
      </c>
      <c r="N128" s="27">
        <f>D128*M128</f>
        <v>60576.923076923071</v>
      </c>
    </row>
    <row r="129" spans="1:16" x14ac:dyDescent="0.25">
      <c r="A129" s="28">
        <v>2</v>
      </c>
      <c r="B129" s="39">
        <f>Input!D40</f>
        <v>0.04</v>
      </c>
      <c r="C129" s="40">
        <f t="shared" ref="C129:C137" si="29">C128/(1+B128)</f>
        <v>0.96153846153846145</v>
      </c>
      <c r="D129" s="40">
        <f t="shared" ref="D129:D137" si="30">D128/(1+B128)</f>
        <v>0.92455621301775137</v>
      </c>
      <c r="E129" s="27">
        <f>H110*Input!B40</f>
        <v>7645180.5</v>
      </c>
      <c r="F129" s="27">
        <f t="shared" ref="F129:F137" si="31">E129*C129</f>
        <v>7351135.0961538451</v>
      </c>
      <c r="G129" s="27">
        <f>D110*Input!I40</f>
        <v>30325.882650000003</v>
      </c>
      <c r="H129" s="27">
        <f t="shared" ref="H129:H137" si="32">C129*G129</f>
        <v>29159.502548076922</v>
      </c>
      <c r="I129" s="27">
        <f>B111*Input!J40</f>
        <v>654.08766500000002</v>
      </c>
      <c r="J129" s="27">
        <f t="shared" ref="J129:J137" si="33">I129*D129</f>
        <v>604.74081453402357</v>
      </c>
      <c r="K129" s="27">
        <f t="shared" ref="K129:K137" si="34">F111*1000</f>
        <v>65408.766499999998</v>
      </c>
      <c r="L129" s="27">
        <f>G111*Input!N40</f>
        <v>1018572.4948019999</v>
      </c>
      <c r="M129" s="27">
        <f t="shared" si="28"/>
        <v>1083981.2613019999</v>
      </c>
      <c r="N129" s="27">
        <f t="shared" ref="N129:N137" si="35">D129*M129</f>
        <v>1002201.6099315826</v>
      </c>
    </row>
    <row r="130" spans="1:16" x14ac:dyDescent="0.25">
      <c r="A130" s="28">
        <v>3</v>
      </c>
      <c r="B130" s="39">
        <f>Input!D41</f>
        <v>0.04</v>
      </c>
      <c r="C130" s="40">
        <f t="shared" si="29"/>
        <v>0.92455621301775137</v>
      </c>
      <c r="D130" s="40">
        <f t="shared" si="30"/>
        <v>0.88899635867091475</v>
      </c>
      <c r="E130" s="27">
        <f>H111*Input!B41</f>
        <v>6722578.4656932</v>
      </c>
      <c r="F130" s="27">
        <f t="shared" si="31"/>
        <v>6215401.6879559904</v>
      </c>
      <c r="G130" s="27">
        <f>D111*Input!I41</f>
        <v>27199.552472194689</v>
      </c>
      <c r="H130" s="27">
        <f t="shared" si="32"/>
        <v>25147.51522946994</v>
      </c>
      <c r="I130" s="27">
        <f>B112*Input!J41</f>
        <v>739.48363122625199</v>
      </c>
      <c r="J130" s="27">
        <f t="shared" si="33"/>
        <v>657.39825545688359</v>
      </c>
      <c r="K130" s="27">
        <f t="shared" si="34"/>
        <v>73948.363122625189</v>
      </c>
      <c r="L130" s="27">
        <f>G112*Input!N41</f>
        <v>1567048.7263695048</v>
      </c>
      <c r="M130" s="27">
        <f t="shared" si="28"/>
        <v>1640997.0894921301</v>
      </c>
      <c r="N130" s="27">
        <f t="shared" si="35"/>
        <v>1458840.437148073</v>
      </c>
    </row>
    <row r="131" spans="1:16" x14ac:dyDescent="0.25">
      <c r="A131" s="28">
        <v>4</v>
      </c>
      <c r="B131" s="39">
        <f>Input!D42</f>
        <v>0.04</v>
      </c>
      <c r="C131" s="40">
        <f t="shared" si="29"/>
        <v>0.88899635867091475</v>
      </c>
      <c r="D131" s="40">
        <f t="shared" si="30"/>
        <v>0.85480419102972571</v>
      </c>
      <c r="E131" s="27">
        <f>H112*Input!B42</f>
        <v>6044330.8017109474</v>
      </c>
      <c r="F131" s="27">
        <f t="shared" si="31"/>
        <v>5373388.0733234836</v>
      </c>
      <c r="G131" s="27">
        <f>D112*Input!I42</f>
        <v>24944.469672196941</v>
      </c>
      <c r="H131" s="27">
        <f t="shared" si="32"/>
        <v>22175.542707560147</v>
      </c>
      <c r="I131" s="27">
        <f>B113*Input!J42</f>
        <v>765.61523488338662</v>
      </c>
      <c r="J131" s="27">
        <f t="shared" si="33"/>
        <v>654.45111149452669</v>
      </c>
      <c r="K131" s="27">
        <f t="shared" si="34"/>
        <v>76561.523488338644</v>
      </c>
      <c r="L131" s="27">
        <f>G113*Input!N42</f>
        <v>1931980.8846710389</v>
      </c>
      <c r="M131" s="27">
        <f t="shared" si="28"/>
        <v>2008542.4081593775</v>
      </c>
      <c r="N131" s="27">
        <f t="shared" si="35"/>
        <v>1716910.4683555739</v>
      </c>
    </row>
    <row r="132" spans="1:16" x14ac:dyDescent="0.25">
      <c r="A132" s="28">
        <v>5</v>
      </c>
      <c r="B132" s="39">
        <f>Input!D43</f>
        <v>0.04</v>
      </c>
      <c r="C132" s="40">
        <f t="shared" si="29"/>
        <v>0.85480419102972571</v>
      </c>
      <c r="D132" s="40">
        <f t="shared" si="30"/>
        <v>0.82192710675935166</v>
      </c>
      <c r="E132" s="27">
        <f>H113*Input!B43</f>
        <v>5494070.6407832671</v>
      </c>
      <c r="F132" s="27">
        <f t="shared" si="31"/>
        <v>4696354.6095549073</v>
      </c>
      <c r="G132" s="27">
        <f>D113*Input!I43</f>
        <v>23127.061809038503</v>
      </c>
      <c r="H132" s="27">
        <f t="shared" si="32"/>
        <v>19769.109360569622</v>
      </c>
      <c r="I132" s="27">
        <f>B114*Input!J43</f>
        <v>976.7236694725807</v>
      </c>
      <c r="J132" s="27">
        <f t="shared" si="33"/>
        <v>802.79565975297555</v>
      </c>
      <c r="K132" s="27">
        <f t="shared" si="34"/>
        <v>97672.366947258066</v>
      </c>
      <c r="L132" s="27">
        <f>G114*Input!N43</f>
        <v>2096595.9599430629</v>
      </c>
      <c r="M132" s="27">
        <f t="shared" si="28"/>
        <v>2194268.326890321</v>
      </c>
      <c r="N132" s="27">
        <f t="shared" si="35"/>
        <v>1803528.6173746448</v>
      </c>
    </row>
    <row r="133" spans="1:16" x14ac:dyDescent="0.25">
      <c r="A133" s="28">
        <v>6</v>
      </c>
      <c r="B133" s="39">
        <f>Input!D44</f>
        <v>0.04</v>
      </c>
      <c r="C133" s="40">
        <f t="shared" si="29"/>
        <v>0.82192710675935166</v>
      </c>
      <c r="D133" s="40">
        <f t="shared" si="30"/>
        <v>0.79031452573014582</v>
      </c>
      <c r="E133" s="27">
        <f>H114*Input!B44</f>
        <v>5046457.7175373733</v>
      </c>
      <c r="F133" s="27">
        <f t="shared" si="31"/>
        <v>4147820.3911588946</v>
      </c>
      <c r="G133" s="27">
        <f>D114*Input!I44</f>
        <v>21667.710905919172</v>
      </c>
      <c r="H133" s="27">
        <f t="shared" si="32"/>
        <v>17809.278935000195</v>
      </c>
      <c r="I133" s="27">
        <f>B115*Input!J44</f>
        <v>785.0045338391468</v>
      </c>
      <c r="J133" s="27">
        <f t="shared" si="33"/>
        <v>620.40048585709951</v>
      </c>
      <c r="K133" s="27">
        <f t="shared" si="34"/>
        <v>78500.453383914675</v>
      </c>
      <c r="L133" s="27">
        <f>G115*Input!N44</f>
        <v>2116544.9242277849</v>
      </c>
      <c r="M133" s="27">
        <f t="shared" si="28"/>
        <v>2195045.3776116995</v>
      </c>
      <c r="N133" s="27">
        <f t="shared" si="35"/>
        <v>1734776.2465633391</v>
      </c>
    </row>
    <row r="134" spans="1:16" x14ac:dyDescent="0.25">
      <c r="A134" s="28">
        <v>7</v>
      </c>
      <c r="B134" s="39">
        <f>Input!D45</f>
        <v>0.04</v>
      </c>
      <c r="C134" s="40">
        <f t="shared" si="29"/>
        <v>0.79031452573014582</v>
      </c>
      <c r="D134" s="40">
        <f t="shared" si="30"/>
        <v>0.75991781320206331</v>
      </c>
      <c r="E134" s="27">
        <f>H115*Input!B45</f>
        <v>4686635.1893615238</v>
      </c>
      <c r="F134" s="27">
        <f t="shared" si="31"/>
        <v>3703915.8669504649</v>
      </c>
      <c r="G134" s="27">
        <f>D115*Input!I45</f>
        <v>20525.214978563432</v>
      </c>
      <c r="H134" s="27">
        <f t="shared" si="32"/>
        <v>16221.375541292644</v>
      </c>
      <c r="I134" s="27">
        <f>B116*Input!J45</f>
        <v>822.76484435457837</v>
      </c>
      <c r="J134" s="27">
        <f t="shared" si="33"/>
        <v>625.23366130146712</v>
      </c>
      <c r="K134" s="27">
        <f t="shared" si="34"/>
        <v>82276.484435457853</v>
      </c>
      <c r="L134" s="27">
        <f>G116*Input!N45</f>
        <v>2027666.4658303438</v>
      </c>
      <c r="M134" s="27">
        <f t="shared" si="28"/>
        <v>2109942.9502658015</v>
      </c>
      <c r="N134" s="27">
        <f t="shared" si="35"/>
        <v>1603383.2327470977</v>
      </c>
    </row>
    <row r="135" spans="1:16" x14ac:dyDescent="0.25">
      <c r="A135" s="28">
        <v>8</v>
      </c>
      <c r="B135" s="39">
        <f>Input!D46</f>
        <v>0.04</v>
      </c>
      <c r="C135" s="40">
        <f t="shared" si="29"/>
        <v>0.75991781320206331</v>
      </c>
      <c r="D135" s="40">
        <f t="shared" si="30"/>
        <v>0.73069020500198389</v>
      </c>
      <c r="E135" s="27">
        <f>H116*Input!B46</f>
        <v>4398476.4874165924</v>
      </c>
      <c r="F135" s="27">
        <f t="shared" si="31"/>
        <v>3342480.6337383096</v>
      </c>
      <c r="G135" s="27">
        <f>D116*Input!I46</f>
        <v>19648.482391174733</v>
      </c>
      <c r="H135" s="27">
        <f t="shared" si="32"/>
        <v>14931.231771440751</v>
      </c>
      <c r="I135" s="27">
        <f>B117*Input!J46</f>
        <v>869.92090528905919</v>
      </c>
      <c r="J135" s="27">
        <f t="shared" si="33"/>
        <v>635.64268462117411</v>
      </c>
      <c r="K135" s="27">
        <f t="shared" si="34"/>
        <v>86992.090528905916</v>
      </c>
      <c r="L135" s="27">
        <f>G117*Input!N46</f>
        <v>1853828.8174691293</v>
      </c>
      <c r="M135" s="27">
        <f t="shared" si="28"/>
        <v>1940820.9079980352</v>
      </c>
      <c r="N135" s="27">
        <f t="shared" si="35"/>
        <v>1418138.8271372209</v>
      </c>
    </row>
    <row r="136" spans="1:16" x14ac:dyDescent="0.25">
      <c r="A136" s="28">
        <v>9</v>
      </c>
      <c r="B136" s="39">
        <f>Input!D47</f>
        <v>0.04</v>
      </c>
      <c r="C136" s="40">
        <f t="shared" si="29"/>
        <v>0.73069020500198389</v>
      </c>
      <c r="D136" s="40">
        <f t="shared" si="30"/>
        <v>0.70258673557883067</v>
      </c>
      <c r="E136" s="27">
        <f>H117*Input!B47</f>
        <v>4171114.8393055415</v>
      </c>
      <c r="F136" s="27">
        <f t="shared" si="31"/>
        <v>3047792.7570189834</v>
      </c>
      <c r="G136" s="27">
        <f>D117*Input!I47</f>
        <v>19005.489341650373</v>
      </c>
      <c r="H136" s="27">
        <f t="shared" si="32"/>
        <v>13887.124903213531</v>
      </c>
      <c r="I136" s="27">
        <f>B118*Input!J47</f>
        <v>931.54898077823748</v>
      </c>
      <c r="J136" s="27">
        <f t="shared" si="33"/>
        <v>654.49395743676871</v>
      </c>
      <c r="K136" s="27">
        <f t="shared" si="34"/>
        <v>93154.898077823746</v>
      </c>
      <c r="L136" s="27">
        <f>G118*Input!N47</f>
        <v>1609589.2807450343</v>
      </c>
      <c r="M136" s="27">
        <f t="shared" si="28"/>
        <v>1702744.178822858</v>
      </c>
      <c r="N136" s="27">
        <f t="shared" si="35"/>
        <v>1196325.4741250086</v>
      </c>
    </row>
    <row r="137" spans="1:16" x14ac:dyDescent="0.25">
      <c r="A137" s="28">
        <v>10</v>
      </c>
      <c r="B137" s="39">
        <f>Input!D48</f>
        <v>0.04</v>
      </c>
      <c r="C137" s="40">
        <f t="shared" si="29"/>
        <v>0.70258673557883067</v>
      </c>
      <c r="D137" s="40">
        <f t="shared" si="30"/>
        <v>0.67556416882579873</v>
      </c>
      <c r="E137" s="27">
        <f>H118*Input!B48</f>
        <v>3996221.662539396</v>
      </c>
      <c r="F137" s="27">
        <f t="shared" si="31"/>
        <v>2807692.3325329619</v>
      </c>
      <c r="G137" s="27">
        <f>D118*Input!I48</f>
        <v>18572.768711265722</v>
      </c>
      <c r="H137" s="27">
        <f t="shared" si="32"/>
        <v>13048.98093950883</v>
      </c>
      <c r="I137" s="27">
        <f>B119*Input!J48</f>
        <v>994.61516934313818</v>
      </c>
      <c r="J137" s="27">
        <f t="shared" si="33"/>
        <v>671.92637017882817</v>
      </c>
      <c r="K137" s="27">
        <f t="shared" si="34"/>
        <v>99461.516934313826</v>
      </c>
      <c r="L137" s="27">
        <f>G119*Input!N48</f>
        <v>44303001.400170073</v>
      </c>
      <c r="M137" s="27">
        <f t="shared" si="28"/>
        <v>44402462.917104386</v>
      </c>
      <c r="N137" s="27">
        <f t="shared" si="35"/>
        <v>29996712.954411976</v>
      </c>
    </row>
    <row r="138" spans="1:16" x14ac:dyDescent="0.25">
      <c r="B138" s="35"/>
      <c r="C138" s="35"/>
      <c r="D138" s="35"/>
      <c r="F138" s="27"/>
      <c r="G138" s="35"/>
      <c r="H138" s="35"/>
      <c r="I138" s="35"/>
      <c r="J138" s="35"/>
    </row>
    <row r="139" spans="1:16" x14ac:dyDescent="0.25">
      <c r="A139" s="28" t="s">
        <v>54</v>
      </c>
      <c r="B139" s="35"/>
      <c r="C139" s="35"/>
      <c r="D139" s="35"/>
      <c r="F139" s="27">
        <f>SUM(F128:F138)</f>
        <v>49685981.448387846</v>
      </c>
      <c r="G139" s="35"/>
      <c r="H139" s="27">
        <f>SUM(H128:H138)</f>
        <v>207149.66193613256</v>
      </c>
      <c r="I139" s="27"/>
      <c r="J139" s="27">
        <f>SUM(J128:J138)</f>
        <v>6532.8522314029778</v>
      </c>
      <c r="N139" s="42">
        <f>SUM(N128:N138)</f>
        <v>41991394.790871441</v>
      </c>
    </row>
    <row r="140" spans="1:16" x14ac:dyDescent="0.25">
      <c r="A140" s="20" t="s">
        <v>55</v>
      </c>
      <c r="B140" s="35"/>
      <c r="C140" s="35"/>
      <c r="D140" s="35"/>
      <c r="G140" s="35"/>
      <c r="H140" s="31">
        <f>H139/F139</f>
        <v>4.1691772185543478E-3</v>
      </c>
      <c r="I140" s="31"/>
      <c r="J140" s="26">
        <f>J139/F139</f>
        <v>1.3148280543052348E-4</v>
      </c>
      <c r="K140" s="35"/>
      <c r="L140" s="35"/>
      <c r="N140" s="31">
        <f>N139/F139</f>
        <v>0.84513566134324458</v>
      </c>
    </row>
    <row r="141" spans="1:16" x14ac:dyDescent="0.25">
      <c r="B141" s="35"/>
      <c r="C141" s="35"/>
      <c r="D141" s="35"/>
      <c r="E141" s="35"/>
      <c r="F141" s="35"/>
      <c r="G141" s="35"/>
      <c r="H141" s="35"/>
      <c r="I141" s="35"/>
      <c r="J141" s="35"/>
    </row>
    <row r="142" spans="1:16" x14ac:dyDescent="0.25">
      <c r="A142" s="20" t="s">
        <v>56</v>
      </c>
      <c r="B142" s="35"/>
      <c r="C142" s="35"/>
      <c r="D142" s="35"/>
      <c r="E142" s="35"/>
      <c r="F142" s="37">
        <f>J140+N140</f>
        <v>0.8452671441486751</v>
      </c>
      <c r="G142" s="35"/>
      <c r="H142" s="35"/>
      <c r="I142" s="35"/>
      <c r="J142" s="35"/>
    </row>
    <row r="143" spans="1:16" x14ac:dyDescent="0.25">
      <c r="B143" s="35"/>
      <c r="C143" s="35"/>
      <c r="D143" s="35"/>
      <c r="E143" s="35"/>
      <c r="F143" s="35"/>
      <c r="G143" s="35"/>
      <c r="H143" s="35"/>
      <c r="I143" s="35"/>
      <c r="J143" s="35"/>
    </row>
    <row r="144" spans="1:16" x14ac:dyDescent="0.25">
      <c r="A144" s="3" t="s">
        <v>57</v>
      </c>
      <c r="B144" s="35"/>
      <c r="C144" s="35"/>
      <c r="D144" s="35"/>
      <c r="E144" s="35"/>
      <c r="F144" s="35"/>
      <c r="G144" s="35"/>
      <c r="H144" s="35" t="s">
        <v>78</v>
      </c>
      <c r="I144" s="35"/>
      <c r="J144" s="35"/>
      <c r="P144" s="20" t="s">
        <v>121</v>
      </c>
    </row>
    <row r="145" spans="1:19" x14ac:dyDescent="0.25">
      <c r="B145" s="35"/>
      <c r="C145" s="35"/>
      <c r="D145" s="35"/>
      <c r="E145" s="35"/>
      <c r="F145" s="35"/>
      <c r="G145" s="35"/>
      <c r="H145" s="35"/>
      <c r="I145" s="35"/>
      <c r="J145" s="35"/>
    </row>
    <row r="146" spans="1:19" x14ac:dyDescent="0.25">
      <c r="C146" s="28"/>
      <c r="D146" s="28"/>
      <c r="G146" s="28"/>
      <c r="H146" s="28"/>
      <c r="I146" s="28"/>
      <c r="J146" s="28"/>
    </row>
    <row r="147" spans="1:19" x14ac:dyDescent="0.25">
      <c r="A147" s="28" t="s">
        <v>0</v>
      </c>
      <c r="B147" s="28"/>
      <c r="C147" s="28" t="s">
        <v>59</v>
      </c>
      <c r="D147" s="28" t="s">
        <v>10</v>
      </c>
      <c r="E147" s="28" t="s">
        <v>76</v>
      </c>
      <c r="F147" s="28" t="s">
        <v>60</v>
      </c>
      <c r="G147" s="28"/>
      <c r="H147" s="28" t="s">
        <v>79</v>
      </c>
      <c r="I147" s="28" t="s">
        <v>80</v>
      </c>
      <c r="J147" s="28" t="s">
        <v>80</v>
      </c>
      <c r="K147" s="28" t="s">
        <v>82</v>
      </c>
      <c r="L147" s="28" t="s">
        <v>83</v>
      </c>
      <c r="M147" s="28"/>
      <c r="O147" s="28"/>
      <c r="P147" s="20" t="s">
        <v>122</v>
      </c>
      <c r="Q147" s="20" t="s">
        <v>122</v>
      </c>
      <c r="R147" s="20" t="s">
        <v>125</v>
      </c>
    </row>
    <row r="148" spans="1:19" x14ac:dyDescent="0.25">
      <c r="A148" s="2" t="s">
        <v>1</v>
      </c>
      <c r="B148" s="2" t="s">
        <v>58</v>
      </c>
      <c r="C148" s="2" t="s">
        <v>40</v>
      </c>
      <c r="D148" s="2" t="s">
        <v>32</v>
      </c>
      <c r="E148" s="2" t="s">
        <v>28</v>
      </c>
      <c r="F148" s="2" t="s">
        <v>39</v>
      </c>
      <c r="G148" s="2"/>
      <c r="H148" s="2" t="s">
        <v>1</v>
      </c>
      <c r="I148" s="2" t="s">
        <v>81</v>
      </c>
      <c r="J148" s="2" t="s">
        <v>32</v>
      </c>
      <c r="K148" s="2" t="s">
        <v>28</v>
      </c>
      <c r="L148" s="2" t="s">
        <v>39</v>
      </c>
      <c r="M148" s="2"/>
      <c r="O148" s="2"/>
      <c r="P148" s="3" t="s">
        <v>123</v>
      </c>
      <c r="Q148" s="3" t="s">
        <v>124</v>
      </c>
      <c r="R148" s="3" t="s">
        <v>126</v>
      </c>
      <c r="S148" s="3"/>
    </row>
    <row r="149" spans="1:19" x14ac:dyDescent="0.25">
      <c r="A149" s="28"/>
      <c r="F149" s="27">
        <v>0</v>
      </c>
      <c r="H149" s="28">
        <v>0</v>
      </c>
      <c r="I149" s="27">
        <f>NPV($B$33,B150:B$160)*(1+$B$33)</f>
        <v>41997927.643102832</v>
      </c>
      <c r="J149" s="27">
        <f>NPV($B$33,D150:D$160)</f>
        <v>-41991394.790871426</v>
      </c>
      <c r="K149" s="27">
        <f>NPV($B$33,E150:E$160)</f>
        <v>-6532.8522314029769</v>
      </c>
      <c r="L149" s="27">
        <f>F149</f>
        <v>0</v>
      </c>
    </row>
    <row r="150" spans="1:19" x14ac:dyDescent="0.25">
      <c r="A150" s="28">
        <v>1</v>
      </c>
      <c r="B150" s="27">
        <f>F$142*E128</f>
        <v>7607404.2973380759</v>
      </c>
      <c r="C150" s="30">
        <f>B128*(F149+B150)</f>
        <v>304296.17189352302</v>
      </c>
      <c r="D150" s="27">
        <f>-M128</f>
        <v>-63000</v>
      </c>
      <c r="E150" s="27">
        <f>-I128</f>
        <v>-630</v>
      </c>
      <c r="F150" s="27">
        <f>F149+SUM(B150:E150)</f>
        <v>7848070.469231599</v>
      </c>
      <c r="G150" s="42"/>
      <c r="H150" s="28">
        <v>1</v>
      </c>
      <c r="I150" s="27">
        <f>NPV($B$33,B151:B$160)*(1+$B$33)</f>
        <v>35766144.27959536</v>
      </c>
      <c r="J150" s="27">
        <f>NPV($B$33,D151:D$160)</f>
        <v>-43608050.582506292</v>
      </c>
      <c r="K150" s="27">
        <f>NPV($B$33,E151:E$160)</f>
        <v>-6164.1663206590965</v>
      </c>
      <c r="L150" s="27">
        <f>-SUM(I150:K150)</f>
        <v>7848070.4692315906</v>
      </c>
      <c r="M150" s="27"/>
      <c r="N150" s="27"/>
    </row>
    <row r="151" spans="1:19" x14ac:dyDescent="0.25">
      <c r="A151" s="28">
        <v>2</v>
      </c>
      <c r="B151" s="27">
        <f t="shared" ref="B151:B159" si="36">F$142*E129</f>
        <v>6462219.8877361398</v>
      </c>
      <c r="C151" s="30">
        <f t="shared" ref="C151:C159" si="37">B129*(F150+B151)</f>
        <v>572411.61427870963</v>
      </c>
      <c r="D151" s="27">
        <f t="shared" ref="D151:D159" si="38">-M129</f>
        <v>-1083981.2613019999</v>
      </c>
      <c r="E151" s="27">
        <f t="shared" ref="E151:E159" si="39">-I129</f>
        <v>-654.08766500000002</v>
      </c>
      <c r="F151" s="27">
        <f t="shared" ref="F151:F159" si="40">F150+SUM(B151:E151)</f>
        <v>13798066.622279448</v>
      </c>
      <c r="G151" s="42"/>
      <c r="H151" s="28">
        <v>2</v>
      </c>
      <c r="I151" s="27">
        <f>NPV($B$33,B152:B$160)*(1+$B$33)</f>
        <v>30476081.367533587</v>
      </c>
      <c r="J151" s="27">
        <f>NPV($B$33,D152:D$160)</f>
        <v>-44268391.344504535</v>
      </c>
      <c r="K151" s="27">
        <f>NPV($B$33,E152:E$160)</f>
        <v>-5756.6453084854611</v>
      </c>
      <c r="L151" s="27">
        <f t="shared" ref="L151:L159" si="41">-SUM(I151:K151)</f>
        <v>13798066.622279434</v>
      </c>
      <c r="M151" s="27"/>
      <c r="N151" s="27"/>
    </row>
    <row r="152" spans="1:19" x14ac:dyDescent="0.25">
      <c r="A152" s="28">
        <v>3</v>
      </c>
      <c r="B152" s="27">
        <f t="shared" si="36"/>
        <v>5682374.7010118729</v>
      </c>
      <c r="C152" s="30">
        <f t="shared" si="37"/>
        <v>779217.65293165285</v>
      </c>
      <c r="D152" s="27">
        <f t="shared" si="38"/>
        <v>-1640997.0894921301</v>
      </c>
      <c r="E152" s="27">
        <f t="shared" si="39"/>
        <v>-739.48363122625199</v>
      </c>
      <c r="F152" s="27">
        <f t="shared" si="40"/>
        <v>18617922.403099619</v>
      </c>
      <c r="G152" s="42"/>
      <c r="H152" s="28">
        <v>3</v>
      </c>
      <c r="I152" s="27">
        <f>NPV($B$33,B153:B$160)*(1+$B$33)</f>
        <v>25785454.93318259</v>
      </c>
      <c r="J152" s="27">
        <f>NPV($B$33,D153:D$160)</f>
        <v>-44398129.9087926</v>
      </c>
      <c r="K152" s="27">
        <f>NPV($B$33,E153:E$160)</f>
        <v>-5247.4274895986273</v>
      </c>
      <c r="L152" s="27">
        <f t="shared" si="41"/>
        <v>18617922.403099608</v>
      </c>
      <c r="M152" s="27"/>
      <c r="N152" s="27"/>
    </row>
    <row r="153" spans="1:19" x14ac:dyDescent="0.25">
      <c r="A153" s="28">
        <v>4</v>
      </c>
      <c r="B153" s="27">
        <f t="shared" si="36"/>
        <v>5109074.2350520846</v>
      </c>
      <c r="C153" s="30">
        <f t="shared" si="37"/>
        <v>949079.86552606826</v>
      </c>
      <c r="D153" s="27">
        <f t="shared" si="38"/>
        <v>-2008542.4081593775</v>
      </c>
      <c r="E153" s="27">
        <f t="shared" si="39"/>
        <v>-765.61523488338662</v>
      </c>
      <c r="F153" s="27">
        <f t="shared" si="40"/>
        <v>22666768.48028351</v>
      </c>
      <c r="G153" s="42"/>
      <c r="H153" s="28">
        <v>4</v>
      </c>
      <c r="I153" s="27">
        <f>NPV($B$33,B154:B$160)*(1+$B$33)</f>
        <v>21503435.926055718</v>
      </c>
      <c r="J153" s="27">
        <f>NPV($B$33,D154:D$160)</f>
        <v>-44165512.696984924</v>
      </c>
      <c r="K153" s="27">
        <f>NPV($B$33,E154:E$160)</f>
        <v>-4691.7093542991861</v>
      </c>
      <c r="L153" s="27">
        <f t="shared" si="41"/>
        <v>22666768.480283506</v>
      </c>
      <c r="M153" s="27"/>
      <c r="N153" s="27"/>
    </row>
    <row r="154" spans="1:19" x14ac:dyDescent="0.25">
      <c r="A154" s="28">
        <v>5</v>
      </c>
      <c r="B154" s="27">
        <f t="shared" si="36"/>
        <v>4643957.4002859537</v>
      </c>
      <c r="C154" s="30">
        <f t="shared" si="37"/>
        <v>1092429.0352227786</v>
      </c>
      <c r="D154" s="27">
        <f t="shared" si="38"/>
        <v>-2194268.326890321</v>
      </c>
      <c r="E154" s="27">
        <f t="shared" si="39"/>
        <v>-976.7236694725807</v>
      </c>
      <c r="F154" s="27">
        <f t="shared" si="40"/>
        <v>26207909.865232449</v>
      </c>
      <c r="G154" s="42"/>
      <c r="H154" s="28">
        <v>5</v>
      </c>
      <c r="I154" s="27">
        <f>NPV($B$33,B155:B$160)*(1+$B$33)</f>
        <v>17533857.666800559</v>
      </c>
      <c r="J154" s="27">
        <f>NPV($B$33,D155:D$160)</f>
        <v>-43737864.877973996</v>
      </c>
      <c r="K154" s="27">
        <f>NPV($B$33,E155:E$160)</f>
        <v>-3902.6540589985734</v>
      </c>
      <c r="L154" s="27">
        <f t="shared" si="41"/>
        <v>26207909.865232438</v>
      </c>
      <c r="M154" s="27"/>
      <c r="N154" s="27"/>
      <c r="P154" s="42">
        <f>F58</f>
        <v>22661006.386586905</v>
      </c>
      <c r="Q154" s="27">
        <f>L153</f>
        <v>22666768.480283506</v>
      </c>
      <c r="R154" s="42">
        <f>P154-Q154</f>
        <v>-5762.0936966016889</v>
      </c>
    </row>
    <row r="155" spans="1:19" x14ac:dyDescent="0.25">
      <c r="A155" s="28">
        <v>6</v>
      </c>
      <c r="B155" s="27">
        <f t="shared" si="36"/>
        <v>4265604.9029698567</v>
      </c>
      <c r="C155" s="30">
        <f t="shared" si="37"/>
        <v>1218940.5907280922</v>
      </c>
      <c r="D155" s="27">
        <f t="shared" si="38"/>
        <v>-2195045.3776116995</v>
      </c>
      <c r="E155" s="27">
        <f t="shared" si="39"/>
        <v>-785.0045338391468</v>
      </c>
      <c r="F155" s="27">
        <f t="shared" si="40"/>
        <v>29496624.976784859</v>
      </c>
      <c r="G155" s="42"/>
      <c r="H155" s="28">
        <v>6</v>
      </c>
      <c r="I155" s="27">
        <f>NPV($B$33,B156:B$160)*(1+$B$33)</f>
        <v>13798982.87438393</v>
      </c>
      <c r="J155" s="27">
        <f>NPV($B$33,D156:D$160)</f>
        <v>-43292334.095481269</v>
      </c>
      <c r="K155" s="27">
        <f>NPV($B$33,E156:E$160)</f>
        <v>-3273.7556875193695</v>
      </c>
      <c r="L155" s="27">
        <f t="shared" si="41"/>
        <v>29496624.976784859</v>
      </c>
      <c r="M155" s="27"/>
      <c r="N155" s="27"/>
    </row>
    <row r="156" spans="1:19" x14ac:dyDescent="0.25">
      <c r="A156" s="28">
        <v>7</v>
      </c>
      <c r="B156" s="27">
        <f t="shared" si="36"/>
        <v>3961458.7421783004</v>
      </c>
      <c r="C156" s="30">
        <f t="shared" si="37"/>
        <v>1338323.3487585264</v>
      </c>
      <c r="D156" s="27">
        <f t="shared" si="38"/>
        <v>-2109942.9502658015</v>
      </c>
      <c r="E156" s="27">
        <f t="shared" si="39"/>
        <v>-822.76484435457837</v>
      </c>
      <c r="F156" s="27">
        <f t="shared" si="40"/>
        <v>32685641.352611531</v>
      </c>
      <c r="G156" s="42"/>
      <c r="H156" s="28">
        <v>7</v>
      </c>
      <c r="I156" s="27">
        <f>NPV($B$33,B157:B$160)*(1+$B$33)</f>
        <v>10231025.097493853</v>
      </c>
      <c r="J156" s="27">
        <f>NPV($B$33,D157:D$160)</f>
        <v>-42914084.509034716</v>
      </c>
      <c r="K156" s="27">
        <f>NPV($B$33,E157:E$160)</f>
        <v>-2581.9410706655658</v>
      </c>
      <c r="L156" s="27">
        <f t="shared" si="41"/>
        <v>32685641.352611527</v>
      </c>
      <c r="M156" s="27"/>
      <c r="N156" s="27"/>
    </row>
    <row r="157" spans="1:19" x14ac:dyDescent="0.25">
      <c r="A157" s="28">
        <v>8</v>
      </c>
      <c r="B157" s="27">
        <f t="shared" si="36"/>
        <v>3717887.6591237187</v>
      </c>
      <c r="C157" s="30">
        <f t="shared" si="37"/>
        <v>1456141.1604694098</v>
      </c>
      <c r="D157" s="27">
        <f t="shared" si="38"/>
        <v>-1940820.9079980352</v>
      </c>
      <c r="E157" s="27">
        <f t="shared" si="39"/>
        <v>-869.92090528905919</v>
      </c>
      <c r="F157" s="27">
        <f t="shared" si="40"/>
        <v>35917979.343301333</v>
      </c>
      <c r="G157" s="42"/>
      <c r="H157" s="28">
        <v>8</v>
      </c>
      <c r="I157" s="27">
        <f>NPV($B$33,B158:B$160)*(1+$B$33)</f>
        <v>6773662.9359049406</v>
      </c>
      <c r="J157" s="27">
        <f>NPV($B$33,D158:D$160)</f>
        <v>-42689826.981398076</v>
      </c>
      <c r="K157" s="27">
        <f>NPV($B$33,E158:E$160)</f>
        <v>-1815.2978082031298</v>
      </c>
      <c r="L157" s="27">
        <f t="shared" si="41"/>
        <v>35917979.343301333</v>
      </c>
      <c r="M157" s="27"/>
      <c r="N157" s="27"/>
    </row>
    <row r="158" spans="1:19" x14ac:dyDescent="0.25">
      <c r="A158" s="28">
        <v>9</v>
      </c>
      <c r="B158" s="27">
        <f t="shared" si="36"/>
        <v>3525706.3281359547</v>
      </c>
      <c r="C158" s="30">
        <f t="shared" si="37"/>
        <v>1577747.4268574915</v>
      </c>
      <c r="D158" s="27">
        <f t="shared" si="38"/>
        <v>-1702744.178822858</v>
      </c>
      <c r="E158" s="27">
        <f t="shared" si="39"/>
        <v>-931.54898077823748</v>
      </c>
      <c r="F158" s="27">
        <f t="shared" si="40"/>
        <v>39317757.370491147</v>
      </c>
      <c r="G158" s="42"/>
      <c r="H158" s="28">
        <v>9</v>
      </c>
      <c r="I158" s="27">
        <f>NPV($B$33,B159:B$160)*(1+$B$33)</f>
        <v>3377874.8720797459</v>
      </c>
      <c r="J158" s="27">
        <f>NPV($B$33,D159:D$160)</f>
        <v>-42694675.881831139</v>
      </c>
      <c r="K158" s="27">
        <f>NPV($B$33,E159:E$160)</f>
        <v>-956.36073975301747</v>
      </c>
      <c r="L158" s="27">
        <f t="shared" si="41"/>
        <v>39317757.370491147</v>
      </c>
      <c r="M158" s="27"/>
      <c r="N158" s="27"/>
    </row>
    <row r="159" spans="1:19" x14ac:dyDescent="0.25">
      <c r="A159" s="28">
        <v>10</v>
      </c>
      <c r="B159" s="27">
        <f t="shared" si="36"/>
        <v>3377874.8720797459</v>
      </c>
      <c r="C159" s="30">
        <f t="shared" si="37"/>
        <v>1707825.2897028357</v>
      </c>
      <c r="D159" s="27">
        <f t="shared" si="38"/>
        <v>-44402462.917104386</v>
      </c>
      <c r="E159" s="27">
        <f t="shared" si="39"/>
        <v>-994.61516934313818</v>
      </c>
      <c r="F159" s="27">
        <f t="shared" si="40"/>
        <v>0</v>
      </c>
      <c r="G159" s="42"/>
      <c r="H159" s="28">
        <v>10</v>
      </c>
      <c r="I159" s="27">
        <f>NPV($B$33,B160:B$160)*(1+$B$33)</f>
        <v>0</v>
      </c>
      <c r="J159" s="27">
        <f>NPV($B$33,D160:D$160)</f>
        <v>0</v>
      </c>
      <c r="K159" s="27">
        <f>NPV($B$33,E160:E$160)</f>
        <v>0</v>
      </c>
      <c r="L159" s="27">
        <f t="shared" si="41"/>
        <v>0</v>
      </c>
      <c r="M159" s="27"/>
      <c r="N159" s="27"/>
    </row>
    <row r="160" spans="1:19" x14ac:dyDescent="0.25">
      <c r="B160" s="35"/>
      <c r="C160" s="35"/>
      <c r="D160" s="35"/>
      <c r="E160" s="35"/>
      <c r="F160" s="35"/>
      <c r="G160" s="35"/>
      <c r="H160" s="35"/>
      <c r="I160" s="35"/>
      <c r="J160" s="35"/>
    </row>
    <row r="161" spans="1:21" x14ac:dyDescent="0.25">
      <c r="A161" s="3" t="s">
        <v>9</v>
      </c>
      <c r="N161" s="3" t="s">
        <v>127</v>
      </c>
    </row>
    <row r="162" spans="1:21" x14ac:dyDescent="0.25">
      <c r="A162" s="3"/>
    </row>
    <row r="163" spans="1:21" x14ac:dyDescent="0.25">
      <c r="A163" s="3"/>
      <c r="G163" s="28" t="s">
        <v>11</v>
      </c>
      <c r="N163" s="3"/>
      <c r="T163" s="28" t="s">
        <v>11</v>
      </c>
    </row>
    <row r="164" spans="1:21" x14ac:dyDescent="0.25">
      <c r="B164" s="28"/>
      <c r="C164" s="28" t="s">
        <v>17</v>
      </c>
      <c r="D164" s="28" t="s">
        <v>10</v>
      </c>
      <c r="F164" s="28" t="s">
        <v>84</v>
      </c>
      <c r="G164" s="28" t="s">
        <v>67</v>
      </c>
      <c r="H164" s="28" t="s">
        <v>11</v>
      </c>
      <c r="O164" s="28"/>
      <c r="P164" s="28" t="s">
        <v>17</v>
      </c>
      <c r="Q164" s="28" t="s">
        <v>10</v>
      </c>
      <c r="S164" s="28" t="s">
        <v>128</v>
      </c>
      <c r="T164" s="28" t="s">
        <v>67</v>
      </c>
      <c r="U164" s="28" t="s">
        <v>11</v>
      </c>
    </row>
    <row r="165" spans="1:21" x14ac:dyDescent="0.25">
      <c r="A165" s="28" t="s">
        <v>0</v>
      </c>
      <c r="B165" s="28" t="s">
        <v>17</v>
      </c>
      <c r="C165" s="28" t="s">
        <v>27</v>
      </c>
      <c r="D165" s="28" t="s">
        <v>17</v>
      </c>
      <c r="E165" s="28" t="s">
        <v>42</v>
      </c>
      <c r="F165" s="28" t="s">
        <v>85</v>
      </c>
      <c r="G165" s="28" t="s">
        <v>72</v>
      </c>
      <c r="H165" s="28" t="s">
        <v>65</v>
      </c>
      <c r="N165" s="28" t="s">
        <v>0</v>
      </c>
      <c r="O165" s="28" t="s">
        <v>17</v>
      </c>
      <c r="P165" s="28" t="s">
        <v>27</v>
      </c>
      <c r="Q165" s="28" t="s">
        <v>17</v>
      </c>
      <c r="R165" s="28" t="s">
        <v>42</v>
      </c>
      <c r="S165" s="28" t="s">
        <v>129</v>
      </c>
      <c r="T165" s="28" t="s">
        <v>72</v>
      </c>
      <c r="U165" s="28" t="s">
        <v>65</v>
      </c>
    </row>
    <row r="166" spans="1:21" x14ac:dyDescent="0.25">
      <c r="A166" s="2" t="s">
        <v>1</v>
      </c>
      <c r="B166" s="2" t="s">
        <v>6</v>
      </c>
      <c r="C166" s="2" t="s">
        <v>28</v>
      </c>
      <c r="D166" s="2" t="s">
        <v>28</v>
      </c>
      <c r="E166" s="2" t="s">
        <v>26</v>
      </c>
      <c r="F166" s="2" t="s">
        <v>86</v>
      </c>
      <c r="G166" s="2" t="s">
        <v>73</v>
      </c>
      <c r="H166" s="2" t="s">
        <v>1</v>
      </c>
      <c r="N166" s="2" t="s">
        <v>1</v>
      </c>
      <c r="O166" s="2" t="s">
        <v>6</v>
      </c>
      <c r="P166" s="2" t="s">
        <v>28</v>
      </c>
      <c r="Q166" s="2" t="s">
        <v>28</v>
      </c>
      <c r="R166" s="2" t="s">
        <v>26</v>
      </c>
      <c r="S166" s="2" t="s">
        <v>130</v>
      </c>
      <c r="T166" s="2" t="s">
        <v>73</v>
      </c>
      <c r="U166" s="2" t="s">
        <v>1</v>
      </c>
    </row>
    <row r="167" spans="1:21" x14ac:dyDescent="0.25">
      <c r="E167" s="36"/>
      <c r="R167" s="36"/>
    </row>
    <row r="168" spans="1:21" x14ac:dyDescent="0.25">
      <c r="A168" s="20">
        <v>1</v>
      </c>
      <c r="B168" s="36">
        <f>Input!F39*'Actuarial balances'!E128</f>
        <v>6300000</v>
      </c>
      <c r="C168" s="36">
        <f>Input!H39*'Actuarial balances'!D109</f>
        <v>100000</v>
      </c>
      <c r="D168" s="36">
        <f>B168+C168</f>
        <v>6400000</v>
      </c>
      <c r="E168" s="36"/>
      <c r="G168" s="31"/>
      <c r="H168" s="36">
        <f>D$74*G168</f>
        <v>0</v>
      </c>
      <c r="N168" s="20">
        <v>1</v>
      </c>
      <c r="O168" s="36">
        <f>B168</f>
        <v>6300000</v>
      </c>
      <c r="P168" s="36">
        <f>C168</f>
        <v>100000</v>
      </c>
      <c r="Q168" s="36">
        <f>O168+P168</f>
        <v>6400000</v>
      </c>
      <c r="R168" s="36"/>
      <c r="T168" s="31"/>
      <c r="U168" s="36">
        <f>Q$74*T168</f>
        <v>0</v>
      </c>
    </row>
    <row r="169" spans="1:21" x14ac:dyDescent="0.25">
      <c r="A169" s="20">
        <v>2</v>
      </c>
      <c r="B169" s="36">
        <f>Input!F40*'Actuarial balances'!E129</f>
        <v>0</v>
      </c>
      <c r="C169" s="36">
        <v>0</v>
      </c>
      <c r="D169" s="36">
        <f t="shared" ref="D169:D177" si="42">B169+C169</f>
        <v>0</v>
      </c>
      <c r="E169" s="36"/>
      <c r="G169" s="31"/>
      <c r="H169" s="36">
        <f>D$74*G169</f>
        <v>0</v>
      </c>
      <c r="N169" s="20">
        <v>2</v>
      </c>
      <c r="O169" s="36">
        <f>Input!S40*'Actuarial balances'!R129</f>
        <v>0</v>
      </c>
      <c r="P169" s="36">
        <v>0</v>
      </c>
      <c r="Q169" s="36">
        <f t="shared" ref="Q169:Q177" si="43">O169+P169</f>
        <v>0</v>
      </c>
      <c r="R169" s="36"/>
      <c r="T169" s="31"/>
      <c r="U169" s="36">
        <f>Q$74*T169</f>
        <v>0</v>
      </c>
    </row>
    <row r="170" spans="1:21" x14ac:dyDescent="0.25">
      <c r="A170" s="20">
        <v>3</v>
      </c>
      <c r="B170" s="36">
        <f>Input!F41*'Actuarial balances'!E130</f>
        <v>0</v>
      </c>
      <c r="C170" s="36">
        <v>0</v>
      </c>
      <c r="D170" s="36">
        <f t="shared" si="42"/>
        <v>0</v>
      </c>
      <c r="E170" s="36"/>
      <c r="G170" s="31"/>
      <c r="H170" s="36">
        <f>D$74*G170</f>
        <v>0</v>
      </c>
      <c r="N170" s="20">
        <v>3</v>
      </c>
      <c r="O170" s="36">
        <f>Input!S41*'Actuarial balances'!R130</f>
        <v>0</v>
      </c>
      <c r="P170" s="36">
        <v>0</v>
      </c>
      <c r="Q170" s="36">
        <f t="shared" si="43"/>
        <v>0</v>
      </c>
      <c r="R170" s="36"/>
      <c r="T170" s="31"/>
      <c r="U170" s="36">
        <f>Q$74*T170</f>
        <v>0</v>
      </c>
    </row>
    <row r="171" spans="1:21" x14ac:dyDescent="0.25">
      <c r="A171" s="20">
        <v>4</v>
      </c>
      <c r="B171" s="36">
        <f>Input!F42*'Actuarial balances'!E131</f>
        <v>0</v>
      </c>
      <c r="C171" s="36">
        <v>0</v>
      </c>
      <c r="D171" s="36">
        <f t="shared" si="42"/>
        <v>0</v>
      </c>
      <c r="E171" s="36"/>
      <c r="G171" s="31"/>
      <c r="H171" s="36">
        <f>D$74*G171</f>
        <v>0</v>
      </c>
      <c r="N171" s="20">
        <v>4</v>
      </c>
      <c r="O171" s="36">
        <f>Input!S42*'Actuarial balances'!R131</f>
        <v>0</v>
      </c>
      <c r="P171" s="36">
        <v>0</v>
      </c>
      <c r="Q171" s="36">
        <f t="shared" si="43"/>
        <v>0</v>
      </c>
      <c r="R171" s="36">
        <f>E76</f>
        <v>67159.23113012164</v>
      </c>
      <c r="S171" s="36">
        <f>D95</f>
        <v>3109839.3269696543</v>
      </c>
      <c r="T171" s="31"/>
      <c r="U171" s="36">
        <f>Q$74*T171</f>
        <v>0</v>
      </c>
    </row>
    <row r="172" spans="1:21" x14ac:dyDescent="0.25">
      <c r="A172" s="20">
        <v>5</v>
      </c>
      <c r="B172" s="36">
        <f>Input!F43*'Actuarial balances'!E132</f>
        <v>0</v>
      </c>
      <c r="C172" s="36">
        <v>0</v>
      </c>
      <c r="D172" s="36">
        <f t="shared" si="42"/>
        <v>0</v>
      </c>
      <c r="E172" s="36">
        <f t="shared" ref="E172:E177" si="44">H114</f>
        <v>56071.752417081923</v>
      </c>
      <c r="F172" s="26">
        <f>MAX(0,1-E172/E78)</f>
        <v>3.2041012495998E-4</v>
      </c>
      <c r="G172" s="31"/>
      <c r="H172" s="36">
        <f>G78+D96*F172</f>
        <v>615389.4659992099</v>
      </c>
      <c r="J172" s="46" t="s">
        <v>87</v>
      </c>
      <c r="K172" s="46"/>
      <c r="L172" s="36">
        <f>H172-G78</f>
        <v>799.50316056748852</v>
      </c>
      <c r="N172" s="20">
        <v>5</v>
      </c>
      <c r="O172" s="36">
        <f>Input!S43*'Actuarial balances'!R132</f>
        <v>0</v>
      </c>
      <c r="P172" s="36">
        <v>0</v>
      </c>
      <c r="Q172" s="36">
        <f t="shared" si="43"/>
        <v>0</v>
      </c>
      <c r="R172" s="36">
        <f>E172</f>
        <v>56071.752417081923</v>
      </c>
      <c r="T172" s="31">
        <f>R171/R$179</f>
        <v>0.21325478335947734</v>
      </c>
      <c r="U172" s="36">
        <f>S$171*T172</f>
        <v>663188.11195569648</v>
      </c>
    </row>
    <row r="173" spans="1:21" x14ac:dyDescent="0.25">
      <c r="A173" s="20">
        <v>6</v>
      </c>
      <c r="B173" s="36">
        <f>Input!F44*'Actuarial balances'!E133</f>
        <v>0</v>
      </c>
      <c r="C173" s="36">
        <v>0</v>
      </c>
      <c r="D173" s="36">
        <f t="shared" si="42"/>
        <v>0</v>
      </c>
      <c r="E173" s="36">
        <f t="shared" si="44"/>
        <v>52073.724326239149</v>
      </c>
      <c r="G173" s="31">
        <f>E172/E$179</f>
        <v>0.22630965577581572</v>
      </c>
      <c r="H173" s="36">
        <f>D$190*G173</f>
        <v>564518.08938625269</v>
      </c>
      <c r="N173" s="20">
        <v>6</v>
      </c>
      <c r="O173" s="36">
        <f>Input!S44*'Actuarial balances'!R133</f>
        <v>0</v>
      </c>
      <c r="P173" s="36">
        <v>0</v>
      </c>
      <c r="Q173" s="36">
        <f t="shared" si="43"/>
        <v>0</v>
      </c>
      <c r="R173" s="36">
        <f t="shared" ref="R173:R177" si="45">E173</f>
        <v>52073.724326239149</v>
      </c>
      <c r="T173" s="31">
        <f t="shared" ref="T173:T177" si="46">R172/R$179</f>
        <v>0.17804803916118625</v>
      </c>
      <c r="U173" s="36">
        <f t="shared" ref="U173:U177" si="47">S$171*T173</f>
        <v>553700.79427329008</v>
      </c>
    </row>
    <row r="174" spans="1:21" x14ac:dyDescent="0.25">
      <c r="A174" s="20">
        <v>7</v>
      </c>
      <c r="B174" s="36">
        <f>Input!F45*'Actuarial balances'!E134</f>
        <v>0</v>
      </c>
      <c r="C174" s="36">
        <v>0</v>
      </c>
      <c r="D174" s="36">
        <f t="shared" si="42"/>
        <v>0</v>
      </c>
      <c r="E174" s="36">
        <f t="shared" si="44"/>
        <v>48871.96097129547</v>
      </c>
      <c r="G174" s="31">
        <f>E173/E$179</f>
        <v>0.2101733246996885</v>
      </c>
      <c r="H174" s="36">
        <f t="shared" ref="H174:H177" si="48">D$190*G174</f>
        <v>524266.82057683408</v>
      </c>
      <c r="K174" s="42"/>
      <c r="N174" s="20">
        <v>7</v>
      </c>
      <c r="O174" s="36">
        <f>Input!S45*'Actuarial balances'!R134</f>
        <v>0</v>
      </c>
      <c r="P174" s="36">
        <v>0</v>
      </c>
      <c r="Q174" s="36">
        <f t="shared" si="43"/>
        <v>0</v>
      </c>
      <c r="R174" s="36">
        <f t="shared" si="45"/>
        <v>48871.96097129547</v>
      </c>
      <c r="T174" s="31">
        <f t="shared" si="46"/>
        <v>0.16535285787291534</v>
      </c>
      <c r="U174" s="36">
        <f t="shared" si="47"/>
        <v>514220.82024001598</v>
      </c>
    </row>
    <row r="175" spans="1:21" x14ac:dyDescent="0.25">
      <c r="A175" s="20">
        <v>8</v>
      </c>
      <c r="B175" s="36">
        <f>Input!F46*'Actuarial balances'!E135</f>
        <v>0</v>
      </c>
      <c r="C175" s="36">
        <v>0</v>
      </c>
      <c r="D175" s="36">
        <f t="shared" si="42"/>
        <v>0</v>
      </c>
      <c r="E175" s="36">
        <f t="shared" si="44"/>
        <v>46345.720436728239</v>
      </c>
      <c r="G175" s="31">
        <f>E174/E$179</f>
        <v>0.19725077579586323</v>
      </c>
      <c r="H175" s="36">
        <f t="shared" si="48"/>
        <v>492032.17026030336</v>
      </c>
      <c r="N175" s="20">
        <v>8</v>
      </c>
      <c r="O175" s="36">
        <f>Input!S46*'Actuarial balances'!R135</f>
        <v>0</v>
      </c>
      <c r="P175" s="36">
        <v>0</v>
      </c>
      <c r="Q175" s="36">
        <f t="shared" si="43"/>
        <v>0</v>
      </c>
      <c r="R175" s="36">
        <f t="shared" si="45"/>
        <v>46345.720436728239</v>
      </c>
      <c r="T175" s="31">
        <f t="shared" si="46"/>
        <v>0.15518610433602759</v>
      </c>
      <c r="U175" s="36">
        <f t="shared" si="47"/>
        <v>482603.85026339459</v>
      </c>
    </row>
    <row r="176" spans="1:21" x14ac:dyDescent="0.25">
      <c r="A176" s="20">
        <v>9</v>
      </c>
      <c r="B176" s="36">
        <f>Input!F47*'Actuarial balances'!E136</f>
        <v>0</v>
      </c>
      <c r="C176" s="36">
        <v>0</v>
      </c>
      <c r="D176" s="36">
        <f t="shared" si="42"/>
        <v>0</v>
      </c>
      <c r="E176" s="36">
        <f t="shared" si="44"/>
        <v>44402.4629171044</v>
      </c>
      <c r="G176" s="31">
        <f>E175/E$179</f>
        <v>0.18705468594419927</v>
      </c>
      <c r="H176" s="36">
        <f t="shared" si="48"/>
        <v>466598.53534737806</v>
      </c>
      <c r="N176" s="20">
        <v>9</v>
      </c>
      <c r="O176" s="36">
        <f>Input!S47*'Actuarial balances'!R136</f>
        <v>0</v>
      </c>
      <c r="P176" s="36">
        <v>0</v>
      </c>
      <c r="Q176" s="36">
        <f t="shared" si="43"/>
        <v>0</v>
      </c>
      <c r="R176" s="36">
        <f t="shared" si="45"/>
        <v>44402.4629171044</v>
      </c>
      <c r="T176" s="31">
        <f t="shared" si="46"/>
        <v>0.14716437941679397</v>
      </c>
      <c r="U176" s="36">
        <f t="shared" si="47"/>
        <v>457657.5746394294</v>
      </c>
    </row>
    <row r="177" spans="1:21" x14ac:dyDescent="0.25">
      <c r="A177" s="20">
        <v>10</v>
      </c>
      <c r="B177" s="36">
        <f>Input!F48*'Actuarial balances'!E137</f>
        <v>0</v>
      </c>
      <c r="C177" s="36">
        <v>0</v>
      </c>
      <c r="D177" s="36">
        <f t="shared" si="42"/>
        <v>0</v>
      </c>
      <c r="E177" s="36">
        <f t="shared" si="44"/>
        <v>0</v>
      </c>
      <c r="G177" s="31">
        <f>E176/E$179</f>
        <v>0.17921155778443337</v>
      </c>
      <c r="H177" s="36">
        <f t="shared" si="48"/>
        <v>447034.24539967661</v>
      </c>
      <c r="N177" s="20">
        <v>10</v>
      </c>
      <c r="O177" s="36">
        <f>Input!S48*'Actuarial balances'!R137</f>
        <v>0</v>
      </c>
      <c r="P177" s="36">
        <v>0</v>
      </c>
      <c r="Q177" s="36">
        <f t="shared" si="43"/>
        <v>0</v>
      </c>
      <c r="R177" s="36">
        <f t="shared" si="45"/>
        <v>0</v>
      </c>
      <c r="T177" s="31">
        <f t="shared" si="46"/>
        <v>0.14099383585359959</v>
      </c>
      <c r="U177" s="36">
        <f t="shared" si="47"/>
        <v>438468.17559782806</v>
      </c>
    </row>
    <row r="178" spans="1:21" x14ac:dyDescent="0.25">
      <c r="B178" s="36"/>
      <c r="C178" s="36"/>
      <c r="D178" s="36"/>
      <c r="E178" s="36"/>
      <c r="F178" s="31"/>
      <c r="G178" s="36"/>
      <c r="O178" s="36"/>
      <c r="P178" s="36"/>
      <c r="Q178" s="36"/>
      <c r="R178" s="36"/>
      <c r="S178" s="31"/>
      <c r="T178" s="36"/>
    </row>
    <row r="179" spans="1:21" x14ac:dyDescent="0.25">
      <c r="A179" s="28" t="s">
        <v>64</v>
      </c>
      <c r="B179" s="36"/>
      <c r="C179" s="36"/>
      <c r="D179" s="36"/>
      <c r="E179" s="36">
        <f>SUM(E170:E178)</f>
        <v>247765.62106844917</v>
      </c>
      <c r="F179" s="31"/>
      <c r="G179" s="36"/>
      <c r="N179" s="28" t="s">
        <v>64</v>
      </c>
      <c r="O179" s="36"/>
      <c r="P179" s="36"/>
      <c r="Q179" s="36"/>
      <c r="R179" s="36">
        <f>SUM(R170:R178)</f>
        <v>314924.85219857079</v>
      </c>
      <c r="S179" s="31"/>
      <c r="T179" s="36"/>
    </row>
    <row r="180" spans="1:21" x14ac:dyDescent="0.25">
      <c r="B180" s="36"/>
      <c r="C180" s="36"/>
      <c r="D180" s="36"/>
      <c r="E180" s="36"/>
    </row>
    <row r="181" spans="1:21" x14ac:dyDescent="0.25">
      <c r="A181" s="3" t="s">
        <v>29</v>
      </c>
      <c r="E181" s="36"/>
      <c r="G181" s="36"/>
    </row>
    <row r="182" spans="1:21" x14ac:dyDescent="0.25">
      <c r="A182" s="3"/>
    </row>
    <row r="183" spans="1:21" x14ac:dyDescent="0.25">
      <c r="B183" s="28"/>
      <c r="C183" s="28"/>
      <c r="D183" s="28" t="s">
        <v>9</v>
      </c>
      <c r="O183" s="28"/>
      <c r="P183" s="28"/>
      <c r="Q183" s="28" t="s">
        <v>9</v>
      </c>
    </row>
    <row r="184" spans="1:21" x14ac:dyDescent="0.25">
      <c r="B184" s="2" t="s">
        <v>30</v>
      </c>
      <c r="C184" s="2" t="s">
        <v>11</v>
      </c>
      <c r="D184" s="2" t="s">
        <v>26</v>
      </c>
      <c r="E184" s="5" t="s">
        <v>71</v>
      </c>
      <c r="N184" s="2" t="s">
        <v>1</v>
      </c>
      <c r="O184" s="2" t="s">
        <v>30</v>
      </c>
      <c r="P184" s="2" t="s">
        <v>11</v>
      </c>
      <c r="Q184" s="2" t="s">
        <v>26</v>
      </c>
      <c r="R184" s="5" t="s">
        <v>71</v>
      </c>
    </row>
    <row r="185" spans="1:21" x14ac:dyDescent="0.25">
      <c r="D185" s="36">
        <v>0</v>
      </c>
    </row>
    <row r="186" spans="1:21" x14ac:dyDescent="0.25">
      <c r="A186" s="20">
        <v>1</v>
      </c>
      <c r="B186" s="36">
        <f t="shared" ref="B186:B195" si="49">D168</f>
        <v>6400000</v>
      </c>
      <c r="C186" s="36">
        <f>C92</f>
        <v>-1006778.0389440364</v>
      </c>
      <c r="D186" s="36">
        <f>D185+B186+C186</f>
        <v>5393221.9610559633</v>
      </c>
      <c r="E186" s="20" t="s">
        <v>69</v>
      </c>
      <c r="N186" s="20">
        <v>1</v>
      </c>
      <c r="O186" s="36">
        <f t="shared" ref="O186:R189" si="50">B186</f>
        <v>6400000</v>
      </c>
      <c r="P186" s="36">
        <f t="shared" si="50"/>
        <v>-1006778.0389440364</v>
      </c>
      <c r="Q186" s="36">
        <f t="shared" si="50"/>
        <v>5393221.9610559633</v>
      </c>
      <c r="R186" s="20" t="str">
        <f t="shared" si="50"/>
        <v>from original schedule</v>
      </c>
    </row>
    <row r="187" spans="1:21" x14ac:dyDescent="0.25">
      <c r="A187" s="20">
        <v>2</v>
      </c>
      <c r="B187" s="36">
        <f t="shared" si="49"/>
        <v>0</v>
      </c>
      <c r="C187" s="36">
        <f>C93</f>
        <v>-855222.20346257626</v>
      </c>
      <c r="D187" s="36">
        <f t="shared" ref="D187:D195" si="51">D186+B187+C187</f>
        <v>4537999.7575933868</v>
      </c>
      <c r="E187" s="20" t="s">
        <v>69</v>
      </c>
      <c r="N187" s="20">
        <v>2</v>
      </c>
      <c r="O187" s="36">
        <f t="shared" si="50"/>
        <v>0</v>
      </c>
      <c r="P187" s="36">
        <f t="shared" si="50"/>
        <v>-855222.20346257626</v>
      </c>
      <c r="Q187" s="36">
        <f t="shared" si="50"/>
        <v>4537999.7575933868</v>
      </c>
      <c r="R187" s="20" t="str">
        <f t="shared" si="50"/>
        <v>from original schedule</v>
      </c>
    </row>
    <row r="188" spans="1:21" x14ac:dyDescent="0.25">
      <c r="A188" s="20">
        <v>3</v>
      </c>
      <c r="B188" s="36">
        <f t="shared" si="49"/>
        <v>0</v>
      </c>
      <c r="C188" s="36">
        <f>C94</f>
        <v>-752016.04048200091</v>
      </c>
      <c r="D188" s="36">
        <f t="shared" si="51"/>
        <v>3785983.7171113859</v>
      </c>
      <c r="E188" s="20" t="s">
        <v>69</v>
      </c>
      <c r="N188" s="20">
        <v>3</v>
      </c>
      <c r="O188" s="36">
        <f t="shared" si="50"/>
        <v>0</v>
      </c>
      <c r="P188" s="36">
        <f t="shared" si="50"/>
        <v>-752016.04048200091</v>
      </c>
      <c r="Q188" s="36">
        <f t="shared" si="50"/>
        <v>3785983.7171113859</v>
      </c>
      <c r="R188" s="20" t="str">
        <f t="shared" si="50"/>
        <v>from original schedule</v>
      </c>
    </row>
    <row r="189" spans="1:21" x14ac:dyDescent="0.25">
      <c r="A189" s="20">
        <v>4</v>
      </c>
      <c r="B189" s="36">
        <f t="shared" si="49"/>
        <v>0</v>
      </c>
      <c r="C189" s="36">
        <f>C95</f>
        <v>-676144.39014173136</v>
      </c>
      <c r="D189" s="36">
        <f t="shared" si="51"/>
        <v>3109839.3269696543</v>
      </c>
      <c r="E189" s="20" t="s">
        <v>69</v>
      </c>
      <c r="N189" s="20">
        <v>4</v>
      </c>
      <c r="O189" s="36">
        <f t="shared" si="50"/>
        <v>0</v>
      </c>
      <c r="P189" s="36">
        <f t="shared" si="50"/>
        <v>-676144.39014173136</v>
      </c>
      <c r="Q189" s="36">
        <f t="shared" si="50"/>
        <v>3109839.3269696543</v>
      </c>
      <c r="R189" s="20" t="str">
        <f t="shared" si="50"/>
        <v>from original schedule</v>
      </c>
    </row>
    <row r="190" spans="1:21" x14ac:dyDescent="0.25">
      <c r="A190" s="20">
        <v>5</v>
      </c>
      <c r="B190" s="36">
        <f t="shared" si="49"/>
        <v>0</v>
      </c>
      <c r="C190" s="36">
        <f t="shared" ref="C190:C195" si="52">-H172</f>
        <v>-615389.4659992099</v>
      </c>
      <c r="D190" s="36">
        <f t="shared" si="51"/>
        <v>2494449.8609704445</v>
      </c>
      <c r="E190" s="20" t="s">
        <v>70</v>
      </c>
      <c r="N190" s="20">
        <v>5</v>
      </c>
      <c r="P190" s="36">
        <f>-U172</f>
        <v>-663188.11195569648</v>
      </c>
      <c r="Q190" s="36">
        <f>Q189+P190</f>
        <v>2446651.2150139576</v>
      </c>
      <c r="R190" s="20" t="s">
        <v>131</v>
      </c>
    </row>
    <row r="191" spans="1:21" x14ac:dyDescent="0.25">
      <c r="A191" s="20">
        <v>6</v>
      </c>
      <c r="B191" s="36">
        <f t="shared" si="49"/>
        <v>0</v>
      </c>
      <c r="C191" s="36">
        <f t="shared" si="52"/>
        <v>-564518.08938625269</v>
      </c>
      <c r="D191" s="36">
        <f t="shared" si="51"/>
        <v>1929931.7715841918</v>
      </c>
      <c r="E191" s="20" t="s">
        <v>70</v>
      </c>
      <c r="N191" s="20">
        <v>6</v>
      </c>
      <c r="P191" s="36">
        <f t="shared" ref="P191:P195" si="53">-U173</f>
        <v>-553700.79427329008</v>
      </c>
      <c r="Q191" s="36">
        <f t="shared" ref="Q191:Q195" si="54">Q190+P191</f>
        <v>1892950.4207406675</v>
      </c>
      <c r="R191" s="20" t="s">
        <v>131</v>
      </c>
    </row>
    <row r="192" spans="1:21" x14ac:dyDescent="0.25">
      <c r="A192" s="20">
        <v>7</v>
      </c>
      <c r="B192" s="36">
        <f t="shared" si="49"/>
        <v>0</v>
      </c>
      <c r="C192" s="36">
        <f t="shared" si="52"/>
        <v>-524266.82057683408</v>
      </c>
      <c r="D192" s="36">
        <f t="shared" si="51"/>
        <v>1405664.9510073578</v>
      </c>
      <c r="E192" s="20" t="s">
        <v>70</v>
      </c>
      <c r="N192" s="20">
        <v>7</v>
      </c>
      <c r="P192" s="36">
        <f t="shared" si="53"/>
        <v>-514220.82024001598</v>
      </c>
      <c r="Q192" s="36">
        <f t="shared" si="54"/>
        <v>1378729.6005006516</v>
      </c>
      <c r="R192" s="20" t="s">
        <v>131</v>
      </c>
    </row>
    <row r="193" spans="1:18" x14ac:dyDescent="0.25">
      <c r="A193" s="20">
        <v>8</v>
      </c>
      <c r="B193" s="36">
        <f t="shared" si="49"/>
        <v>0</v>
      </c>
      <c r="C193" s="36">
        <f t="shared" si="52"/>
        <v>-492032.17026030336</v>
      </c>
      <c r="D193" s="36">
        <f t="shared" si="51"/>
        <v>913632.78074705438</v>
      </c>
      <c r="E193" s="20" t="s">
        <v>70</v>
      </c>
      <c r="N193" s="20">
        <v>8</v>
      </c>
      <c r="P193" s="36">
        <f t="shared" si="53"/>
        <v>-482603.85026339459</v>
      </c>
      <c r="Q193" s="36">
        <f t="shared" si="54"/>
        <v>896125.75023725699</v>
      </c>
      <c r="R193" s="20" t="s">
        <v>131</v>
      </c>
    </row>
    <row r="194" spans="1:18" x14ac:dyDescent="0.25">
      <c r="A194" s="20">
        <v>9</v>
      </c>
      <c r="B194" s="36">
        <f t="shared" si="49"/>
        <v>0</v>
      </c>
      <c r="C194" s="36">
        <f t="shared" si="52"/>
        <v>-466598.53534737806</v>
      </c>
      <c r="D194" s="36">
        <f t="shared" si="51"/>
        <v>447034.24539967632</v>
      </c>
      <c r="E194" s="20" t="s">
        <v>70</v>
      </c>
      <c r="N194" s="20">
        <v>9</v>
      </c>
      <c r="P194" s="36">
        <f t="shared" si="53"/>
        <v>-457657.5746394294</v>
      </c>
      <c r="Q194" s="36">
        <f t="shared" si="54"/>
        <v>438468.17559782759</v>
      </c>
      <c r="R194" s="20" t="s">
        <v>131</v>
      </c>
    </row>
    <row r="195" spans="1:18" x14ac:dyDescent="0.25">
      <c r="A195" s="20">
        <v>10</v>
      </c>
      <c r="B195" s="36">
        <f t="shared" si="49"/>
        <v>0</v>
      </c>
      <c r="C195" s="36">
        <f t="shared" si="52"/>
        <v>-447034.24539967661</v>
      </c>
      <c r="D195" s="36">
        <f t="shared" si="51"/>
        <v>0</v>
      </c>
      <c r="E195" s="20" t="s">
        <v>70</v>
      </c>
      <c r="N195" s="20">
        <v>10</v>
      </c>
      <c r="P195" s="36">
        <f t="shared" si="53"/>
        <v>-438468.17559782806</v>
      </c>
      <c r="Q195" s="36">
        <f t="shared" si="54"/>
        <v>-4.6566128730773926E-10</v>
      </c>
      <c r="R195" s="20" t="s">
        <v>131</v>
      </c>
    </row>
    <row r="197" spans="1:18" x14ac:dyDescent="0.25">
      <c r="A197" s="4" t="s">
        <v>63</v>
      </c>
      <c r="N197" s="28"/>
    </row>
    <row r="199" spans="1:18" x14ac:dyDescent="0.25">
      <c r="A199" s="3" t="s">
        <v>25</v>
      </c>
      <c r="B199" s="3"/>
      <c r="C199" s="3"/>
      <c r="D199" s="3"/>
    </row>
    <row r="201" spans="1:18" x14ac:dyDescent="0.25">
      <c r="A201" s="28" t="s">
        <v>0</v>
      </c>
      <c r="B201" s="28" t="s">
        <v>50</v>
      </c>
      <c r="C201" s="28" t="s">
        <v>50</v>
      </c>
      <c r="D201" s="28" t="s">
        <v>22</v>
      </c>
      <c r="F201" s="28" t="s">
        <v>51</v>
      </c>
      <c r="G201" s="28" t="s">
        <v>51</v>
      </c>
      <c r="H201" s="28" t="s">
        <v>42</v>
      </c>
      <c r="I201" s="28"/>
      <c r="J201" s="28"/>
    </row>
    <row r="202" spans="1:18" x14ac:dyDescent="0.25">
      <c r="A202" s="2" t="s">
        <v>1</v>
      </c>
      <c r="B202" s="2" t="s">
        <v>23</v>
      </c>
      <c r="C202" s="2" t="s">
        <v>24</v>
      </c>
      <c r="D202" s="2" t="s">
        <v>26</v>
      </c>
      <c r="F202" s="2" t="s">
        <v>23</v>
      </c>
      <c r="G202" s="2" t="s">
        <v>24</v>
      </c>
      <c r="H202" s="2" t="s">
        <v>26</v>
      </c>
      <c r="I202" s="2"/>
      <c r="J202" s="2"/>
    </row>
    <row r="203" spans="1:18" x14ac:dyDescent="0.25">
      <c r="D203" s="35">
        <f>Input!B52</f>
        <v>1000</v>
      </c>
      <c r="H203" s="36">
        <f>D203*Input!B$53</f>
        <v>100000</v>
      </c>
      <c r="I203" s="36"/>
      <c r="J203" s="36"/>
    </row>
    <row r="204" spans="1:18" x14ac:dyDescent="0.25">
      <c r="A204" s="20">
        <v>1</v>
      </c>
      <c r="B204" s="30">
        <f>Input!L60*'Actuarial balances'!D203</f>
        <v>0.63</v>
      </c>
      <c r="C204" s="35">
        <f>Input!M60*('Actuarial balances'!D203-'Actuarial balances'!B204)</f>
        <v>149.90549999999999</v>
      </c>
      <c r="D204" s="35">
        <f t="shared" ref="D204:D213" si="55">D203-B204-C204</f>
        <v>849.46450000000004</v>
      </c>
      <c r="E204" s="45"/>
      <c r="F204" s="36">
        <f>H$203/D$203*B204</f>
        <v>63</v>
      </c>
      <c r="G204" s="36">
        <f>H$109/D$109*C204</f>
        <v>14990.55</v>
      </c>
      <c r="H204" s="36">
        <f t="shared" ref="H204:H213" si="56">H203-F204-G204</f>
        <v>84946.45</v>
      </c>
      <c r="I204" s="36"/>
      <c r="J204" s="36"/>
      <c r="K204" s="36"/>
    </row>
    <row r="205" spans="1:18" x14ac:dyDescent="0.25">
      <c r="A205" s="20">
        <v>2</v>
      </c>
      <c r="B205" s="30">
        <f>Input!L61*'Actuarial balances'!D204</f>
        <v>0.65408766500000004</v>
      </c>
      <c r="C205" s="35">
        <f>Input!M61*('Actuarial balances'!D204-'Actuarial balances'!B205)</f>
        <v>101.8572494802</v>
      </c>
      <c r="D205" s="35">
        <f t="shared" si="55"/>
        <v>746.95316285479998</v>
      </c>
      <c r="E205" s="45"/>
      <c r="F205" s="36">
        <f t="shared" ref="F205:F213" si="57">H$203/D$203*B205</f>
        <v>65.408766499999999</v>
      </c>
      <c r="G205" s="36">
        <f t="shared" ref="G205:G213" si="58">H$109/D$109*C205</f>
        <v>10185.724948019999</v>
      </c>
      <c r="H205" s="36">
        <f t="shared" si="56"/>
        <v>74695.316285480003</v>
      </c>
      <c r="I205" s="36"/>
      <c r="J205" s="36"/>
      <c r="K205" s="36"/>
    </row>
    <row r="206" spans="1:18" x14ac:dyDescent="0.25">
      <c r="A206" s="20">
        <v>3</v>
      </c>
      <c r="B206" s="30">
        <f>Input!L62*'Actuarial balances'!D205</f>
        <v>0.73948363122625194</v>
      </c>
      <c r="C206" s="35">
        <f>Input!M62*('Actuarial balances'!D205-'Actuarial balances'!B206)</f>
        <v>74.621367922357379</v>
      </c>
      <c r="D206" s="35">
        <f t="shared" si="55"/>
        <v>671.59231130121634</v>
      </c>
      <c r="E206" s="45"/>
      <c r="F206" s="36">
        <f t="shared" si="57"/>
        <v>73.948363122625196</v>
      </c>
      <c r="G206" s="36">
        <f t="shared" si="58"/>
        <v>7462.1367922357376</v>
      </c>
      <c r="H206" s="36">
        <f t="shared" si="56"/>
        <v>67159.23113012164</v>
      </c>
      <c r="I206" s="36"/>
      <c r="J206" s="36"/>
      <c r="K206" s="36"/>
    </row>
    <row r="207" spans="1:18" x14ac:dyDescent="0.25">
      <c r="A207" s="20">
        <v>4</v>
      </c>
      <c r="B207" s="30">
        <f>Input!L63*'Actuarial balances'!D206</f>
        <v>0.76561523488338656</v>
      </c>
      <c r="C207" s="35">
        <f>Input!M63*('Actuarial balances'!D206-'Actuarial balances'!B207)</f>
        <v>60.374402645969965</v>
      </c>
      <c r="D207" s="35">
        <f t="shared" si="55"/>
        <v>610.45229342036293</v>
      </c>
      <c r="E207" s="45"/>
      <c r="F207" s="36">
        <f t="shared" si="57"/>
        <v>76.561523488338651</v>
      </c>
      <c r="G207" s="36">
        <f t="shared" si="58"/>
        <v>6037.4402645969967</v>
      </c>
      <c r="H207" s="36">
        <f t="shared" si="56"/>
        <v>61045.229342036298</v>
      </c>
      <c r="I207" s="36"/>
      <c r="J207" s="36"/>
      <c r="K207" s="36"/>
    </row>
    <row r="208" spans="1:18" x14ac:dyDescent="0.25">
      <c r="A208" s="20">
        <v>5</v>
      </c>
      <c r="B208" s="30">
        <f>Input!L64*'Actuarial balances'!D207</f>
        <v>0.97672366947258071</v>
      </c>
      <c r="C208" s="35">
        <f>Input!M64*('Actuarial balances'!D207-'Actuarial balances'!B208)</f>
        <v>48.758045580071233</v>
      </c>
      <c r="D208" s="35">
        <f t="shared" si="55"/>
        <v>560.71752417081916</v>
      </c>
      <c r="E208" s="45"/>
      <c r="F208" s="36">
        <f t="shared" si="57"/>
        <v>97.67236694725807</v>
      </c>
      <c r="G208" s="36">
        <f t="shared" si="58"/>
        <v>4875.804558007123</v>
      </c>
      <c r="H208" s="36">
        <f t="shared" si="56"/>
        <v>56071.752417081923</v>
      </c>
      <c r="I208" s="36"/>
      <c r="J208" s="36"/>
      <c r="K208" s="36"/>
    </row>
    <row r="209" spans="1:14" x14ac:dyDescent="0.25">
      <c r="A209" s="20">
        <v>6</v>
      </c>
      <c r="B209" s="30">
        <f>Input!L65*'Actuarial balances'!D208</f>
        <v>0.82425476053110414</v>
      </c>
      <c r="C209" s="35">
        <f>Input!M65*('Actuarial balances'!D208-'Actuarial balances'!B209)</f>
        <v>39.192528858720173</v>
      </c>
      <c r="D209" s="35">
        <f t="shared" si="55"/>
        <v>520.70074055156795</v>
      </c>
      <c r="E209" s="45"/>
      <c r="F209" s="36">
        <f t="shared" si="57"/>
        <v>82.425476053110415</v>
      </c>
      <c r="G209" s="36">
        <f t="shared" si="58"/>
        <v>3919.2528858720175</v>
      </c>
      <c r="H209" s="36">
        <f t="shared" si="56"/>
        <v>52070.074055156794</v>
      </c>
      <c r="I209" s="36"/>
      <c r="J209" s="36"/>
      <c r="K209" s="36"/>
    </row>
    <row r="210" spans="1:14" x14ac:dyDescent="0.25">
      <c r="A210" s="20">
        <v>7</v>
      </c>
      <c r="B210" s="30">
        <f>Input!L66*'Actuarial balances'!D209</f>
        <v>0.86384252857505128</v>
      </c>
      <c r="C210" s="35">
        <f>Input!M66*('Actuarial balances'!D209-'Actuarial balances'!B210)</f>
        <v>31.19021388137957</v>
      </c>
      <c r="D210" s="35">
        <f t="shared" si="55"/>
        <v>488.64668414161326</v>
      </c>
      <c r="E210" s="45"/>
      <c r="F210" s="36">
        <f t="shared" si="57"/>
        <v>86.384252857505132</v>
      </c>
      <c r="G210" s="36">
        <f t="shared" si="58"/>
        <v>3119.0213881379568</v>
      </c>
      <c r="H210" s="36">
        <f t="shared" si="56"/>
        <v>48864.668414161337</v>
      </c>
      <c r="I210" s="36"/>
      <c r="J210" s="36"/>
      <c r="K210" s="36"/>
    </row>
    <row r="211" spans="1:14" x14ac:dyDescent="0.25">
      <c r="A211" s="20">
        <v>8</v>
      </c>
      <c r="B211" s="30">
        <f>Input!L67*'Actuarial balances'!D210</f>
        <v>0.91328065266067515</v>
      </c>
      <c r="C211" s="35">
        <f>Input!M67*('Actuarial balances'!D210-'Actuarial balances'!B211)</f>
        <v>24.38667017444763</v>
      </c>
      <c r="D211" s="35">
        <f t="shared" si="55"/>
        <v>463.34673331450495</v>
      </c>
      <c r="E211" s="45"/>
      <c r="F211" s="36">
        <f t="shared" si="57"/>
        <v>91.328065266067512</v>
      </c>
      <c r="G211" s="36">
        <f t="shared" si="58"/>
        <v>2438.6670174447631</v>
      </c>
      <c r="H211" s="36">
        <f t="shared" si="56"/>
        <v>46334.673331450504</v>
      </c>
      <c r="I211" s="36"/>
      <c r="J211" s="36"/>
      <c r="K211" s="36"/>
    </row>
    <row r="212" spans="1:14" x14ac:dyDescent="0.25">
      <c r="A212" s="20">
        <v>9</v>
      </c>
      <c r="B212" s="30">
        <f>Input!L68*'Actuarial balances'!D211</f>
        <v>0.97789328066026271</v>
      </c>
      <c r="C212" s="35">
        <f>Input!M68*('Actuarial balances'!D211-'Actuarial balances'!B212)</f>
        <v>18.494753601353786</v>
      </c>
      <c r="D212" s="35">
        <f t="shared" si="55"/>
        <v>443.87408643249086</v>
      </c>
      <c r="E212" s="45"/>
      <c r="F212" s="36">
        <f t="shared" si="57"/>
        <v>97.789328066026272</v>
      </c>
      <c r="G212" s="36">
        <f t="shared" si="58"/>
        <v>1849.4753601353787</v>
      </c>
      <c r="H212" s="36">
        <f t="shared" si="56"/>
        <v>44387.408643249095</v>
      </c>
      <c r="I212" s="36"/>
      <c r="J212" s="36"/>
      <c r="K212" s="36"/>
    </row>
    <row r="213" spans="1:14" x14ac:dyDescent="0.25">
      <c r="A213" s="20">
        <v>10</v>
      </c>
      <c r="B213" s="30">
        <f>Input!L69*'Actuarial balances'!D212</f>
        <v>1.0439918512892186</v>
      </c>
      <c r="C213" s="35">
        <f>Input!M69*('Actuarial balances'!D212-'Actuarial balances'!B213)</f>
        <v>442.83009458120165</v>
      </c>
      <c r="D213" s="35">
        <f t="shared" si="55"/>
        <v>0</v>
      </c>
      <c r="E213" s="45"/>
      <c r="F213" s="36">
        <f t="shared" si="57"/>
        <v>104.39918512892186</v>
      </c>
      <c r="G213" s="36">
        <f t="shared" si="58"/>
        <v>44283.009458120163</v>
      </c>
      <c r="H213" s="36">
        <f t="shared" si="56"/>
        <v>0</v>
      </c>
      <c r="I213" s="36"/>
      <c r="J213" s="36"/>
      <c r="K213" s="36"/>
    </row>
    <row r="214" spans="1:14" x14ac:dyDescent="0.25">
      <c r="B214" s="35"/>
      <c r="C214" s="35"/>
      <c r="D214" s="35"/>
      <c r="E214" s="35"/>
      <c r="F214" s="35"/>
      <c r="G214" s="35"/>
      <c r="H214" s="35"/>
      <c r="I214" s="35"/>
      <c r="J214" s="35"/>
    </row>
    <row r="215" spans="1:14" x14ac:dyDescent="0.25">
      <c r="A215" s="3" t="s">
        <v>43</v>
      </c>
    </row>
    <row r="217" spans="1:14" x14ac:dyDescent="0.25">
      <c r="B217" s="38"/>
    </row>
    <row r="218" spans="1:14" x14ac:dyDescent="0.25">
      <c r="C218" s="28" t="s">
        <v>47</v>
      </c>
      <c r="D218" s="28" t="s">
        <v>48</v>
      </c>
      <c r="G218" s="28"/>
      <c r="H218" s="28" t="s">
        <v>49</v>
      </c>
      <c r="I218" s="28"/>
      <c r="J218" s="28" t="s">
        <v>77</v>
      </c>
    </row>
    <row r="219" spans="1:14" x14ac:dyDescent="0.25">
      <c r="A219" s="28" t="s">
        <v>0</v>
      </c>
      <c r="B219" s="28" t="s">
        <v>39</v>
      </c>
      <c r="C219" s="28" t="s">
        <v>38</v>
      </c>
      <c r="D219" s="28" t="s">
        <v>38</v>
      </c>
      <c r="F219" s="28"/>
      <c r="G219" s="28" t="s">
        <v>7</v>
      </c>
      <c r="H219" s="28" t="s">
        <v>7</v>
      </c>
      <c r="I219" s="28" t="s">
        <v>76</v>
      </c>
      <c r="J219" s="28" t="s">
        <v>76</v>
      </c>
      <c r="K219" s="28" t="s">
        <v>31</v>
      </c>
      <c r="L219" s="28" t="s">
        <v>8</v>
      </c>
      <c r="M219" s="28" t="s">
        <v>10</v>
      </c>
      <c r="N219" s="28" t="s">
        <v>53</v>
      </c>
    </row>
    <row r="220" spans="1:14" x14ac:dyDescent="0.25">
      <c r="A220" s="2" t="s">
        <v>1</v>
      </c>
      <c r="B220" s="2" t="s">
        <v>46</v>
      </c>
      <c r="C220" s="2" t="s">
        <v>44</v>
      </c>
      <c r="D220" s="2" t="s">
        <v>44</v>
      </c>
      <c r="E220" s="2" t="s">
        <v>4</v>
      </c>
      <c r="F220" s="2" t="s">
        <v>45</v>
      </c>
      <c r="G220" s="2" t="s">
        <v>5</v>
      </c>
      <c r="H220" s="2" t="s">
        <v>5</v>
      </c>
      <c r="I220" s="2" t="s">
        <v>5</v>
      </c>
      <c r="J220" s="2" t="s">
        <v>5</v>
      </c>
      <c r="K220" s="2" t="s">
        <v>32</v>
      </c>
      <c r="L220" s="2" t="s">
        <v>32</v>
      </c>
      <c r="M220" s="2" t="s">
        <v>32</v>
      </c>
      <c r="N220" s="2" t="s">
        <v>32</v>
      </c>
    </row>
    <row r="221" spans="1:14" x14ac:dyDescent="0.25">
      <c r="A221" s="28"/>
    </row>
    <row r="222" spans="1:14" x14ac:dyDescent="0.25">
      <c r="A222" s="28">
        <v>1</v>
      </c>
      <c r="B222" s="39">
        <f>Input!D60</f>
        <v>0.04</v>
      </c>
      <c r="C222" s="40">
        <v>1</v>
      </c>
      <c r="D222" s="41">
        <f>C223</f>
        <v>0.96153846153846145</v>
      </c>
      <c r="E222" s="27">
        <f>H203*Input!B60</f>
        <v>9000000</v>
      </c>
      <c r="F222" s="27">
        <f>E222*C222</f>
        <v>9000000</v>
      </c>
      <c r="G222" s="27">
        <f>D203*Input!I60</f>
        <v>35000</v>
      </c>
      <c r="H222" s="27">
        <f>C222*G222</f>
        <v>35000</v>
      </c>
      <c r="I222" s="27">
        <f>B204*Input!J39</f>
        <v>630</v>
      </c>
      <c r="J222" s="27">
        <f>I222*D222</f>
        <v>605.76923076923072</v>
      </c>
      <c r="K222" s="27">
        <f>F204*1000</f>
        <v>63000</v>
      </c>
      <c r="L222" s="27">
        <f>G204*Input!N60</f>
        <v>0</v>
      </c>
      <c r="M222" s="27">
        <f t="shared" ref="M222:M231" si="59">K222+L222</f>
        <v>63000</v>
      </c>
      <c r="N222" s="27">
        <f>D222*M222</f>
        <v>60576.923076923071</v>
      </c>
    </row>
    <row r="223" spans="1:14" x14ac:dyDescent="0.25">
      <c r="A223" s="28">
        <v>2</v>
      </c>
      <c r="B223" s="39">
        <f>Input!D61</f>
        <v>0.04</v>
      </c>
      <c r="C223" s="40">
        <f t="shared" ref="C223:C231" si="60">C222/(1+B222)</f>
        <v>0.96153846153846145</v>
      </c>
      <c r="D223" s="40">
        <f t="shared" ref="D223:D231" si="61">D222/(1+B222)</f>
        <v>0.92455621301775137</v>
      </c>
      <c r="E223" s="27">
        <f>H204*Input!B61</f>
        <v>7645180.5</v>
      </c>
      <c r="F223" s="27">
        <f t="shared" ref="F223:F231" si="62">E223*C223</f>
        <v>7351135.0961538451</v>
      </c>
      <c r="G223" s="27">
        <f>D204*Input!I61</f>
        <v>30325.882650000003</v>
      </c>
      <c r="H223" s="27">
        <f t="shared" ref="H223:H231" si="63">C223*G223</f>
        <v>29159.502548076922</v>
      </c>
      <c r="I223" s="27">
        <f>B205*Input!J40</f>
        <v>654.08766500000002</v>
      </c>
      <c r="J223" s="27">
        <f t="shared" ref="J223:J231" si="64">I223*D223</f>
        <v>604.74081453402357</v>
      </c>
      <c r="K223" s="27">
        <f t="shared" ref="K223:K231" si="65">F205*1000</f>
        <v>65408.766499999998</v>
      </c>
      <c r="L223" s="27">
        <f>G205*Input!N61</f>
        <v>1018572.4948019999</v>
      </c>
      <c r="M223" s="27">
        <f t="shared" si="59"/>
        <v>1083981.2613019999</v>
      </c>
      <c r="N223" s="27">
        <f t="shared" ref="N223:N231" si="66">D223*M223</f>
        <v>1002201.6099315826</v>
      </c>
    </row>
    <row r="224" spans="1:14" x14ac:dyDescent="0.25">
      <c r="A224" s="28">
        <v>3</v>
      </c>
      <c r="B224" s="39">
        <f>Input!D62</f>
        <v>0.04</v>
      </c>
      <c r="C224" s="40">
        <f t="shared" si="60"/>
        <v>0.92455621301775137</v>
      </c>
      <c r="D224" s="40">
        <f t="shared" si="61"/>
        <v>0.88899635867091475</v>
      </c>
      <c r="E224" s="27">
        <f>H205*Input!B62</f>
        <v>6722578.4656932</v>
      </c>
      <c r="F224" s="27">
        <f t="shared" si="62"/>
        <v>6215401.6879559904</v>
      </c>
      <c r="G224" s="27">
        <f>D205*Input!I62</f>
        <v>27199.552472194689</v>
      </c>
      <c r="H224" s="27">
        <f t="shared" si="63"/>
        <v>25147.51522946994</v>
      </c>
      <c r="I224" s="27">
        <f>B206*Input!J41</f>
        <v>739.48363122625199</v>
      </c>
      <c r="J224" s="27">
        <f t="shared" si="64"/>
        <v>657.39825545688359</v>
      </c>
      <c r="K224" s="27">
        <f t="shared" si="65"/>
        <v>73948.363122625189</v>
      </c>
      <c r="L224" s="27">
        <f>G206*Input!N62</f>
        <v>1567048.7263695048</v>
      </c>
      <c r="M224" s="27">
        <f t="shared" si="59"/>
        <v>1640997.0894921301</v>
      </c>
      <c r="N224" s="27">
        <f t="shared" si="66"/>
        <v>1458840.437148073</v>
      </c>
    </row>
    <row r="225" spans="1:16" x14ac:dyDescent="0.25">
      <c r="A225" s="28">
        <v>4</v>
      </c>
      <c r="B225" s="39">
        <f>Input!D63</f>
        <v>0.04</v>
      </c>
      <c r="C225" s="40">
        <f t="shared" si="60"/>
        <v>0.88899635867091475</v>
      </c>
      <c r="D225" s="40">
        <f t="shared" si="61"/>
        <v>0.85480419102972571</v>
      </c>
      <c r="E225" s="27">
        <f>H206*Input!B63</f>
        <v>6044330.8017109474</v>
      </c>
      <c r="F225" s="27">
        <f t="shared" si="62"/>
        <v>5373388.0733234836</v>
      </c>
      <c r="G225" s="27">
        <f>D206*Input!I63</f>
        <v>24944.469672196941</v>
      </c>
      <c r="H225" s="27">
        <f t="shared" si="63"/>
        <v>22175.542707560147</v>
      </c>
      <c r="I225" s="27">
        <f>B207*Input!J42</f>
        <v>765.61523488338662</v>
      </c>
      <c r="J225" s="27">
        <f t="shared" si="64"/>
        <v>654.45111149452669</v>
      </c>
      <c r="K225" s="27">
        <f t="shared" si="65"/>
        <v>76561.523488338644</v>
      </c>
      <c r="L225" s="27">
        <f>G207*Input!N63</f>
        <v>1931980.8846710389</v>
      </c>
      <c r="M225" s="27">
        <f t="shared" si="59"/>
        <v>2008542.4081593775</v>
      </c>
      <c r="N225" s="27">
        <f t="shared" si="66"/>
        <v>1716910.4683555739</v>
      </c>
    </row>
    <row r="226" spans="1:16" x14ac:dyDescent="0.25">
      <c r="A226" s="28">
        <v>5</v>
      </c>
      <c r="B226" s="39">
        <f>Input!D64</f>
        <v>0.04</v>
      </c>
      <c r="C226" s="40">
        <f t="shared" si="60"/>
        <v>0.85480419102972571</v>
      </c>
      <c r="D226" s="40">
        <f t="shared" si="61"/>
        <v>0.82192710675935166</v>
      </c>
      <c r="E226" s="27">
        <f>H207*Input!B64</f>
        <v>5494070.6407832671</v>
      </c>
      <c r="F226" s="27">
        <f t="shared" si="62"/>
        <v>4696354.6095549073</v>
      </c>
      <c r="G226" s="27">
        <f>D207*Input!I64</f>
        <v>23127.061809038503</v>
      </c>
      <c r="H226" s="27">
        <f t="shared" si="63"/>
        <v>19769.109360569622</v>
      </c>
      <c r="I226" s="27">
        <f>B208*Input!J43</f>
        <v>976.7236694725807</v>
      </c>
      <c r="J226" s="27">
        <f t="shared" si="64"/>
        <v>802.79565975297555</v>
      </c>
      <c r="K226" s="27">
        <f t="shared" si="65"/>
        <v>97672.366947258066</v>
      </c>
      <c r="L226" s="27">
        <f>G208*Input!N64</f>
        <v>2096595.9599430629</v>
      </c>
      <c r="M226" s="27">
        <f t="shared" si="59"/>
        <v>2194268.326890321</v>
      </c>
      <c r="N226" s="27">
        <f t="shared" si="66"/>
        <v>1803528.6173746448</v>
      </c>
    </row>
    <row r="227" spans="1:16" x14ac:dyDescent="0.25">
      <c r="A227" s="28">
        <v>6</v>
      </c>
      <c r="B227" s="39">
        <f>Input!D65</f>
        <v>0.04</v>
      </c>
      <c r="C227" s="40">
        <f t="shared" si="60"/>
        <v>0.82192710675935166</v>
      </c>
      <c r="D227" s="40">
        <f t="shared" si="61"/>
        <v>0.79031452573014582</v>
      </c>
      <c r="E227" s="27">
        <f>H208*Input!B65</f>
        <v>5046457.7175373733</v>
      </c>
      <c r="F227" s="27">
        <f t="shared" si="62"/>
        <v>4147820.3911588946</v>
      </c>
      <c r="G227" s="27">
        <f>D208*Input!I65</f>
        <v>21667.710905919172</v>
      </c>
      <c r="H227" s="27">
        <f t="shared" si="63"/>
        <v>17809.278935000195</v>
      </c>
      <c r="I227" s="27">
        <f>B209*Input!J44</f>
        <v>824.25476053110413</v>
      </c>
      <c r="J227" s="27">
        <f t="shared" si="64"/>
        <v>651.42051014995445</v>
      </c>
      <c r="K227" s="27">
        <f t="shared" si="65"/>
        <v>82425.476053110411</v>
      </c>
      <c r="L227" s="27">
        <f>G209*Input!N65</f>
        <v>2116396.5583708896</v>
      </c>
      <c r="M227" s="27">
        <f t="shared" si="59"/>
        <v>2198822.034424</v>
      </c>
      <c r="N227" s="27">
        <f t="shared" si="66"/>
        <v>1737760.9933007979</v>
      </c>
    </row>
    <row r="228" spans="1:16" x14ac:dyDescent="0.25">
      <c r="A228" s="28">
        <v>7</v>
      </c>
      <c r="B228" s="39">
        <f>Input!D66</f>
        <v>0.04</v>
      </c>
      <c r="C228" s="40">
        <f t="shared" si="60"/>
        <v>0.79031452573014582</v>
      </c>
      <c r="D228" s="40">
        <f t="shared" si="61"/>
        <v>0.75991781320206331</v>
      </c>
      <c r="E228" s="27">
        <f>H209*Input!B66</f>
        <v>4686306.6649641115</v>
      </c>
      <c r="F228" s="27">
        <f t="shared" si="62"/>
        <v>3703656.2293471331</v>
      </c>
      <c r="G228" s="27">
        <f>D209*Input!I66</f>
        <v>20523.776199223859</v>
      </c>
      <c r="H228" s="27">
        <f t="shared" si="63"/>
        <v>16220.23845308126</v>
      </c>
      <c r="I228" s="27">
        <f>B210*Input!J45</f>
        <v>863.84252857505123</v>
      </c>
      <c r="J228" s="27">
        <f t="shared" si="64"/>
        <v>656.4493252656938</v>
      </c>
      <c r="K228" s="27">
        <f t="shared" si="65"/>
        <v>86384.252857505126</v>
      </c>
      <c r="L228" s="27">
        <f>G210*Input!N66</f>
        <v>2027363.9022896718</v>
      </c>
      <c r="M228" s="27">
        <f t="shared" si="59"/>
        <v>2113748.1551471772</v>
      </c>
      <c r="N228" s="27">
        <f t="shared" si="66"/>
        <v>1606274.8757193384</v>
      </c>
    </row>
    <row r="229" spans="1:16" x14ac:dyDescent="0.25">
      <c r="A229" s="28">
        <v>8</v>
      </c>
      <c r="B229" s="39">
        <f>Input!D67</f>
        <v>0.04</v>
      </c>
      <c r="C229" s="40">
        <f t="shared" si="60"/>
        <v>0.75991781320206331</v>
      </c>
      <c r="D229" s="40">
        <f t="shared" si="61"/>
        <v>0.73069020500198389</v>
      </c>
      <c r="E229" s="27">
        <f>H210*Input!B67</f>
        <v>4397820.15727452</v>
      </c>
      <c r="F229" s="27">
        <f t="shared" si="62"/>
        <v>3341981.8767720074</v>
      </c>
      <c r="G229" s="27">
        <f>D210*Input!I67</f>
        <v>19645.550491623559</v>
      </c>
      <c r="H229" s="27">
        <f t="shared" si="63"/>
        <v>14929.003768745295</v>
      </c>
      <c r="I229" s="27">
        <f>B211*Input!J46</f>
        <v>913.28065266067517</v>
      </c>
      <c r="J229" s="27">
        <f t="shared" si="64"/>
        <v>667.32522731697441</v>
      </c>
      <c r="K229" s="27">
        <f t="shared" si="65"/>
        <v>91328.065266067511</v>
      </c>
      <c r="L229" s="27">
        <f>G211*Input!N67</f>
        <v>1853386.9332580201</v>
      </c>
      <c r="M229" s="27">
        <f t="shared" si="59"/>
        <v>1944714.9985240875</v>
      </c>
      <c r="N229" s="27">
        <f t="shared" si="66"/>
        <v>1420984.2009419983</v>
      </c>
    </row>
    <row r="230" spans="1:16" x14ac:dyDescent="0.25">
      <c r="A230" s="28">
        <v>9</v>
      </c>
      <c r="B230" s="39">
        <f>Input!D68</f>
        <v>0.04</v>
      </c>
      <c r="C230" s="40">
        <f t="shared" si="60"/>
        <v>0.73069020500198389</v>
      </c>
      <c r="D230" s="40">
        <f t="shared" si="61"/>
        <v>0.70258673557883067</v>
      </c>
      <c r="E230" s="27">
        <f>H211*Input!B68</f>
        <v>4170120.5998305455</v>
      </c>
      <c r="F230" s="27">
        <f t="shared" si="62"/>
        <v>3047066.2759731775</v>
      </c>
      <c r="G230" s="27">
        <f>D211*Input!I68</f>
        <v>19000.959136064317</v>
      </c>
      <c r="H230" s="27">
        <f t="shared" si="63"/>
        <v>13883.814726365155</v>
      </c>
      <c r="I230" s="27">
        <f>B212*Input!J47</f>
        <v>977.89328066026269</v>
      </c>
      <c r="J230" s="27">
        <f t="shared" si="64"/>
        <v>687.05484780356721</v>
      </c>
      <c r="K230" s="27">
        <f t="shared" si="65"/>
        <v>97789.328066026268</v>
      </c>
      <c r="L230" s="27">
        <f>G212*Input!N68</f>
        <v>1609043.5633177795</v>
      </c>
      <c r="M230" s="27">
        <f t="shared" si="59"/>
        <v>1706832.8913838058</v>
      </c>
      <c r="N230" s="27">
        <f t="shared" si="66"/>
        <v>1199198.149335925</v>
      </c>
    </row>
    <row r="231" spans="1:16" x14ac:dyDescent="0.25">
      <c r="A231" s="28">
        <v>10</v>
      </c>
      <c r="B231" s="39">
        <f>Input!D69</f>
        <v>0.04</v>
      </c>
      <c r="C231" s="40">
        <f t="shared" si="60"/>
        <v>0.70258673557883067</v>
      </c>
      <c r="D231" s="40">
        <f t="shared" si="61"/>
        <v>0.67556416882579873</v>
      </c>
      <c r="E231" s="27">
        <f>H212*Input!B69</f>
        <v>3994866.7778924187</v>
      </c>
      <c r="F231" s="27">
        <f t="shared" si="62"/>
        <v>2806740.4085517558</v>
      </c>
      <c r="G231" s="27">
        <f>D212*Input!I69</f>
        <v>18566.471773482055</v>
      </c>
      <c r="H231" s="27">
        <f t="shared" si="63"/>
        <v>13044.556794547259</v>
      </c>
      <c r="I231" s="27">
        <f>B213*Input!J48</f>
        <v>1043.9918512892186</v>
      </c>
      <c r="J231" s="27">
        <f t="shared" si="64"/>
        <v>705.28348727710784</v>
      </c>
      <c r="K231" s="27">
        <f t="shared" si="65"/>
        <v>104399.18512892186</v>
      </c>
      <c r="L231" s="27">
        <f>G213*Input!N69</f>
        <v>44283009.45812016</v>
      </c>
      <c r="M231" s="27">
        <f t="shared" si="59"/>
        <v>44387408.64324908</v>
      </c>
      <c r="N231" s="27">
        <f t="shared" si="66"/>
        <v>29986542.826407637</v>
      </c>
    </row>
    <row r="232" spans="1:16" x14ac:dyDescent="0.25">
      <c r="B232" s="35"/>
      <c r="C232" s="35"/>
      <c r="D232" s="35"/>
      <c r="F232" s="27"/>
      <c r="G232" s="35"/>
      <c r="H232" s="35"/>
      <c r="I232" s="35"/>
      <c r="J232" s="35"/>
    </row>
    <row r="233" spans="1:16" x14ac:dyDescent="0.25">
      <c r="A233" s="28" t="s">
        <v>54</v>
      </c>
      <c r="B233" s="35"/>
      <c r="C233" s="35"/>
      <c r="D233" s="35"/>
      <c r="F233" s="27">
        <f>SUM(F222:F232)</f>
        <v>49683544.648791194</v>
      </c>
      <c r="G233" s="35"/>
      <c r="H233" s="27">
        <f>SUM(H222:H232)</f>
        <v>207138.56252341578</v>
      </c>
      <c r="I233" s="27"/>
      <c r="J233" s="27">
        <f>SUM(J222:J232)</f>
        <v>6692.6884698209387</v>
      </c>
      <c r="N233" s="42">
        <f>SUM(N222:N232)</f>
        <v>41992819.101592496</v>
      </c>
    </row>
    <row r="234" spans="1:16" x14ac:dyDescent="0.25">
      <c r="A234" s="20" t="s">
        <v>55</v>
      </c>
      <c r="B234" s="35"/>
      <c r="C234" s="35"/>
      <c r="D234" s="35"/>
      <c r="G234" s="35"/>
      <c r="H234" s="31">
        <f>H233/F233</f>
        <v>4.1691582995468796E-3</v>
      </c>
      <c r="I234" s="31"/>
      <c r="J234" s="26">
        <f>J233/F233</f>
        <v>1.3470634024063686E-4</v>
      </c>
      <c r="K234" s="35"/>
      <c r="L234" s="35"/>
      <c r="N234" s="31">
        <f>N233/F233</f>
        <v>0.84520577987010004</v>
      </c>
    </row>
    <row r="235" spans="1:16" x14ac:dyDescent="0.25">
      <c r="B235" s="35"/>
      <c r="C235" s="35"/>
      <c r="D235" s="35"/>
      <c r="E235" s="35"/>
      <c r="F235" s="35"/>
      <c r="G235" s="35"/>
      <c r="H235" s="35"/>
      <c r="I235" s="35"/>
      <c r="J235" s="35"/>
    </row>
    <row r="236" spans="1:16" x14ac:dyDescent="0.25">
      <c r="A236" s="20" t="s">
        <v>56</v>
      </c>
      <c r="B236" s="35"/>
      <c r="C236" s="35"/>
      <c r="D236" s="35"/>
      <c r="E236" s="35"/>
      <c r="F236" s="37">
        <f>J234+N234</f>
        <v>0.84534048621034064</v>
      </c>
      <c r="G236" s="35"/>
      <c r="H236" s="35"/>
      <c r="I236" s="35"/>
      <c r="J236" s="35"/>
    </row>
    <row r="237" spans="1:16" x14ac:dyDescent="0.25">
      <c r="B237" s="35"/>
      <c r="C237" s="35"/>
      <c r="D237" s="35"/>
      <c r="E237" s="35"/>
      <c r="F237" s="35"/>
      <c r="G237" s="35"/>
      <c r="H237" s="35"/>
      <c r="I237" s="35"/>
      <c r="J237" s="35"/>
    </row>
    <row r="238" spans="1:16" x14ac:dyDescent="0.25">
      <c r="A238" s="3" t="s">
        <v>57</v>
      </c>
      <c r="B238" s="35"/>
      <c r="C238" s="35"/>
      <c r="D238" s="35"/>
      <c r="E238" s="35"/>
      <c r="F238" s="35"/>
      <c r="G238" s="35"/>
      <c r="H238" s="35" t="s">
        <v>78</v>
      </c>
      <c r="I238" s="35"/>
      <c r="J238" s="35"/>
      <c r="P238" s="20" t="s">
        <v>121</v>
      </c>
    </row>
    <row r="239" spans="1:16" x14ac:dyDescent="0.25">
      <c r="B239" s="35"/>
      <c r="C239" s="35"/>
      <c r="D239" s="35"/>
      <c r="E239" s="35"/>
      <c r="F239" s="35"/>
      <c r="G239" s="35"/>
      <c r="H239" s="35"/>
      <c r="I239" s="35"/>
      <c r="J239" s="35"/>
    </row>
    <row r="240" spans="1:16" x14ac:dyDescent="0.25">
      <c r="C240" s="28"/>
      <c r="D240" s="28"/>
      <c r="G240" s="28"/>
      <c r="H240" s="28"/>
      <c r="I240" s="28"/>
      <c r="J240" s="28"/>
    </row>
    <row r="241" spans="1:18" x14ac:dyDescent="0.25">
      <c r="A241" s="28" t="s">
        <v>0</v>
      </c>
      <c r="B241" s="28"/>
      <c r="C241" s="28" t="s">
        <v>59</v>
      </c>
      <c r="D241" s="28" t="s">
        <v>10</v>
      </c>
      <c r="E241" s="28" t="s">
        <v>76</v>
      </c>
      <c r="F241" s="28" t="s">
        <v>60</v>
      </c>
      <c r="G241" s="28"/>
      <c r="H241" s="28" t="s">
        <v>79</v>
      </c>
      <c r="I241" s="28" t="s">
        <v>80</v>
      </c>
      <c r="J241" s="28" t="s">
        <v>80</v>
      </c>
      <c r="K241" s="28" t="s">
        <v>82</v>
      </c>
      <c r="L241" s="28" t="s">
        <v>83</v>
      </c>
      <c r="M241" s="28"/>
      <c r="N241" s="28"/>
      <c r="P241" s="20" t="s">
        <v>122</v>
      </c>
      <c r="Q241" s="20" t="s">
        <v>122</v>
      </c>
      <c r="R241" s="20" t="s">
        <v>125</v>
      </c>
    </row>
    <row r="242" spans="1:18" x14ac:dyDescent="0.25">
      <c r="A242" s="2" t="s">
        <v>1</v>
      </c>
      <c r="B242" s="2" t="s">
        <v>58</v>
      </c>
      <c r="C242" s="2" t="s">
        <v>40</v>
      </c>
      <c r="D242" s="2" t="s">
        <v>32</v>
      </c>
      <c r="E242" s="2" t="s">
        <v>28</v>
      </c>
      <c r="F242" s="2" t="s">
        <v>39</v>
      </c>
      <c r="G242" s="2"/>
      <c r="H242" s="2" t="s">
        <v>1</v>
      </c>
      <c r="I242" s="2" t="s">
        <v>81</v>
      </c>
      <c r="J242" s="2" t="s">
        <v>32</v>
      </c>
      <c r="K242" s="2" t="s">
        <v>28</v>
      </c>
      <c r="L242" s="2" t="s">
        <v>39</v>
      </c>
      <c r="M242" s="2"/>
      <c r="N242" s="2"/>
      <c r="P242" s="3" t="s">
        <v>123</v>
      </c>
      <c r="Q242" s="3" t="s">
        <v>124</v>
      </c>
      <c r="R242" s="3" t="s">
        <v>126</v>
      </c>
    </row>
    <row r="243" spans="1:18" x14ac:dyDescent="0.25">
      <c r="A243" s="28"/>
      <c r="F243" s="27">
        <v>0</v>
      </c>
      <c r="H243" s="28">
        <v>0</v>
      </c>
      <c r="I243" s="27">
        <f>NPV($B$33,B244:B$254)*(1+$B$33)</f>
        <v>41999511.790062316</v>
      </c>
      <c r="J243" s="27">
        <f>NPV($B$33,D244:D$254)</f>
        <v>-41992819.101592489</v>
      </c>
      <c r="K243" s="27">
        <f>NPV($B$33,E244:E$254)</f>
        <v>-6692.6884698209378</v>
      </c>
      <c r="L243" s="27">
        <f>F243</f>
        <v>0</v>
      </c>
    </row>
    <row r="244" spans="1:18" x14ac:dyDescent="0.25">
      <c r="A244" s="28">
        <v>1</v>
      </c>
      <c r="B244" s="27">
        <f>F$236*E222</f>
        <v>7608064.3758930657</v>
      </c>
      <c r="C244" s="30">
        <f>B222*(F243+B244)</f>
        <v>304322.57503572264</v>
      </c>
      <c r="D244" s="27">
        <f>-M222</f>
        <v>-63000</v>
      </c>
      <c r="E244" s="27">
        <f>-I222</f>
        <v>-630</v>
      </c>
      <c r="F244" s="27">
        <f>F243+SUM(B244:E244)</f>
        <v>7848756.9509287886</v>
      </c>
      <c r="G244" s="42"/>
      <c r="H244" s="28">
        <v>1</v>
      </c>
      <c r="I244" s="27">
        <f>NPV($B$33,B245:B$254)*(1+$B$33)</f>
        <v>35767105.310736015</v>
      </c>
      <c r="J244" s="27">
        <f>NPV($B$33,D245:D$254)</f>
        <v>-43609531.86565619</v>
      </c>
      <c r="K244" s="27">
        <f>NPV($B$33,E245:E$254)</f>
        <v>-6330.3960086137758</v>
      </c>
      <c r="L244" s="27">
        <f>-SUM(I244:K244)</f>
        <v>7848756.9509287877</v>
      </c>
      <c r="M244" s="27"/>
      <c r="N244" s="27"/>
    </row>
    <row r="245" spans="1:18" x14ac:dyDescent="0.25">
      <c r="A245" s="28">
        <v>2</v>
      </c>
      <c r="B245" s="27">
        <f t="shared" ref="B245:B253" si="67">F$236*E223</f>
        <v>6462780.6010358147</v>
      </c>
      <c r="C245" s="30">
        <f t="shared" ref="C245:C253" si="68">B223*(F244+B245)</f>
        <v>572461.50207858416</v>
      </c>
      <c r="D245" s="27">
        <f t="shared" ref="D245:D253" si="69">-M223</f>
        <v>-1083981.2613019999</v>
      </c>
      <c r="E245" s="27">
        <f t="shared" ref="E245:E253" si="70">-I223</f>
        <v>-654.08766500000002</v>
      </c>
      <c r="F245" s="27">
        <f t="shared" ref="F245:F253" si="71">F244+SUM(B245:E245)</f>
        <v>13799363.705076188</v>
      </c>
      <c r="G245" s="42"/>
      <c r="H245" s="28">
        <v>2</v>
      </c>
      <c r="I245" s="27">
        <f>NPV($B$33,B246:B$254)*(1+$B$33)</f>
        <v>30476497.698088214</v>
      </c>
      <c r="J245" s="27">
        <f>NPV($B$33,D246:D$254)</f>
        <v>-44269931.878980435</v>
      </c>
      <c r="K245" s="27">
        <f>NPV($B$33,E246:E$254)</f>
        <v>-5929.5241839583268</v>
      </c>
      <c r="L245" s="27">
        <f t="shared" ref="L245:L253" si="72">-SUM(I245:K245)</f>
        <v>13799363.70507618</v>
      </c>
      <c r="M245" s="27"/>
      <c r="N245" s="27"/>
    </row>
    <row r="246" spans="1:18" x14ac:dyDescent="0.25">
      <c r="A246" s="28">
        <v>3</v>
      </c>
      <c r="B246" s="27">
        <f t="shared" si="67"/>
        <v>5682867.7487762552</v>
      </c>
      <c r="C246" s="30">
        <f t="shared" si="68"/>
        <v>779289.25815409783</v>
      </c>
      <c r="D246" s="27">
        <f t="shared" si="69"/>
        <v>-1640997.0894921301</v>
      </c>
      <c r="E246" s="27">
        <f t="shared" si="70"/>
        <v>-739.48363122625199</v>
      </c>
      <c r="F246" s="27">
        <f t="shared" si="71"/>
        <v>18619784.138883185</v>
      </c>
      <c r="G246" s="42"/>
      <c r="H246" s="28">
        <v>3</v>
      </c>
      <c r="I246" s="27">
        <f>NPV($B$33,B247:B$254)*(1+$B$33)</f>
        <v>25785375.147284437</v>
      </c>
      <c r="J246" s="27">
        <f>NPV($B$33,D247:D$254)</f>
        <v>-44399732.064647526</v>
      </c>
      <c r="K246" s="27">
        <f>NPV($B$33,E247:E$254)</f>
        <v>-5427.2215200904084</v>
      </c>
      <c r="L246" s="27">
        <f t="shared" si="72"/>
        <v>18619784.138883177</v>
      </c>
      <c r="M246" s="27"/>
      <c r="N246" s="27"/>
    </row>
    <row r="247" spans="1:18" x14ac:dyDescent="0.25">
      <c r="A247" s="28">
        <v>4</v>
      </c>
      <c r="B247" s="27">
        <f t="shared" si="67"/>
        <v>5109517.5387344705</v>
      </c>
      <c r="C247" s="30">
        <f t="shared" si="68"/>
        <v>949172.06710470619</v>
      </c>
      <c r="D247" s="27">
        <f t="shared" si="69"/>
        <v>-2008542.4081593775</v>
      </c>
      <c r="E247" s="27">
        <f t="shared" si="70"/>
        <v>-765.61523488338662</v>
      </c>
      <c r="F247" s="27">
        <f t="shared" si="71"/>
        <v>22669165.721328102</v>
      </c>
      <c r="G247" s="42"/>
      <c r="H247" s="28">
        <v>4</v>
      </c>
      <c r="I247" s="27">
        <f>NPV($B$33,B248:B$254)*(1+$B$33)</f>
        <v>21502891.912891969</v>
      </c>
      <c r="J247" s="27">
        <f>NPV($B$33,D248:D$254)</f>
        <v>-44167178.939074047</v>
      </c>
      <c r="K247" s="27">
        <f>NPV($B$33,E248:E$254)</f>
        <v>-4878.6951460106384</v>
      </c>
      <c r="L247" s="27">
        <f t="shared" si="72"/>
        <v>22669165.721328087</v>
      </c>
      <c r="M247" s="27"/>
      <c r="N247" s="27"/>
    </row>
    <row r="248" spans="1:18" x14ac:dyDescent="0.25">
      <c r="A248" s="28">
        <v>5</v>
      </c>
      <c r="B248" s="27">
        <f t="shared" si="67"/>
        <v>4644360.3467536848</v>
      </c>
      <c r="C248" s="30">
        <f t="shared" si="68"/>
        <v>1092541.0427232715</v>
      </c>
      <c r="D248" s="27">
        <f t="shared" si="69"/>
        <v>-2194268.326890321</v>
      </c>
      <c r="E248" s="27">
        <f t="shared" si="70"/>
        <v>-976.7236694725807</v>
      </c>
      <c r="F248" s="27">
        <f t="shared" si="71"/>
        <v>26210822.060245264</v>
      </c>
      <c r="G248" s="42"/>
      <c r="H248" s="28">
        <v>5</v>
      </c>
      <c r="I248" s="27">
        <f>NPV($B$33,B249:B$254)*(1+$B$33)</f>
        <v>17532872.828783818</v>
      </c>
      <c r="J248" s="27">
        <f>NPV($B$33,D249:D$254)</f>
        <v>-43739597.769746698</v>
      </c>
      <c r="K248" s="27">
        <f>NPV($B$33,E249:E$254)</f>
        <v>-4097.1192823784831</v>
      </c>
      <c r="L248" s="27">
        <f t="shared" si="72"/>
        <v>26210822.060245261</v>
      </c>
      <c r="M248" s="27"/>
      <c r="N248" s="27"/>
      <c r="P248" s="42">
        <f>F58</f>
        <v>22661006.386586905</v>
      </c>
      <c r="Q248" s="27">
        <f>L247</f>
        <v>22669165.721328087</v>
      </c>
      <c r="R248" s="42">
        <f>P248-Q248</f>
        <v>-8159.3347411826253</v>
      </c>
    </row>
    <row r="249" spans="1:18" x14ac:dyDescent="0.25">
      <c r="A249" s="28">
        <v>6</v>
      </c>
      <c r="B249" s="27">
        <f t="shared" si="67"/>
        <v>4265975.0205829693</v>
      </c>
      <c r="C249" s="30">
        <f t="shared" si="68"/>
        <v>1219071.8832331295</v>
      </c>
      <c r="D249" s="27">
        <f t="shared" si="69"/>
        <v>-2198822.034424</v>
      </c>
      <c r="E249" s="27">
        <f t="shared" si="70"/>
        <v>-824.25476053110413</v>
      </c>
      <c r="F249" s="27">
        <f t="shared" si="71"/>
        <v>29496222.674876831</v>
      </c>
      <c r="G249" s="42"/>
      <c r="H249" s="28">
        <v>6</v>
      </c>
      <c r="I249" s="27">
        <f>NPV($B$33,B250:B$254)*(1+$B$33)</f>
        <v>13797573.720528882</v>
      </c>
      <c r="J249" s="27">
        <f>NPV($B$33,D250:D$254)</f>
        <v>-43290359.646112569</v>
      </c>
      <c r="K249" s="27">
        <f>NPV($B$33,E250:E$254)</f>
        <v>-3436.7492931425181</v>
      </c>
      <c r="L249" s="27">
        <f t="shared" si="72"/>
        <v>29496222.674876828</v>
      </c>
      <c r="M249" s="27"/>
      <c r="N249" s="27"/>
    </row>
    <row r="250" spans="1:18" x14ac:dyDescent="0.25">
      <c r="A250" s="28">
        <v>7</v>
      </c>
      <c r="B250" s="27">
        <f t="shared" si="67"/>
        <v>3961524.7546915221</v>
      </c>
      <c r="C250" s="30">
        <f t="shared" si="68"/>
        <v>1338309.8971827342</v>
      </c>
      <c r="D250" s="27">
        <f t="shared" si="69"/>
        <v>-2113748.1551471772</v>
      </c>
      <c r="E250" s="27">
        <f t="shared" si="70"/>
        <v>-863.84252857505123</v>
      </c>
      <c r="F250" s="27">
        <f t="shared" si="71"/>
        <v>32681445.329075336</v>
      </c>
      <c r="G250" s="42"/>
      <c r="H250" s="28">
        <v>7</v>
      </c>
      <c r="I250" s="27">
        <f>NPV($B$33,B251:B$254)*(1+$B$33)</f>
        <v>10229490.924470855</v>
      </c>
      <c r="J250" s="27">
        <f>NPV($B$33,D251:D$254)</f>
        <v>-42908225.876809895</v>
      </c>
      <c r="K250" s="27">
        <f>NPV($B$33,E251:E$254)</f>
        <v>-2710.3767362931676</v>
      </c>
      <c r="L250" s="27">
        <f t="shared" si="72"/>
        <v>32681445.329075333</v>
      </c>
      <c r="M250" s="27"/>
      <c r="N250" s="27"/>
    </row>
    <row r="251" spans="1:18" x14ac:dyDescent="0.25">
      <c r="A251" s="28">
        <v>8</v>
      </c>
      <c r="B251" s="27">
        <f t="shared" si="67"/>
        <v>3717655.4300160795</v>
      </c>
      <c r="C251" s="30">
        <f t="shared" si="68"/>
        <v>1455964.0303636566</v>
      </c>
      <c r="D251" s="27">
        <f t="shared" si="69"/>
        <v>-1944714.9985240875</v>
      </c>
      <c r="E251" s="27">
        <f t="shared" si="70"/>
        <v>-913.28065266067517</v>
      </c>
      <c r="F251" s="27">
        <f t="shared" si="71"/>
        <v>35909436.510278322</v>
      </c>
      <c r="G251" s="42"/>
      <c r="H251" s="28">
        <v>8</v>
      </c>
      <c r="I251" s="27">
        <f>NPV($B$33,B252:B$254)*(1+$B$33)</f>
        <v>6772308.9142329665</v>
      </c>
      <c r="J251" s="27">
        <f>NPV($B$33,D252:D$254)</f>
        <v>-42679839.913358204</v>
      </c>
      <c r="K251" s="27">
        <f>NPV($B$33,E252:E$254)</f>
        <v>-1905.5111530842194</v>
      </c>
      <c r="L251" s="27">
        <f t="shared" si="72"/>
        <v>35909436.510278322</v>
      </c>
      <c r="M251" s="27"/>
      <c r="N251" s="27"/>
    </row>
    <row r="252" spans="1:18" x14ac:dyDescent="0.25">
      <c r="A252" s="28">
        <v>9</v>
      </c>
      <c r="B252" s="27">
        <f t="shared" si="67"/>
        <v>3525171.7754165106</v>
      </c>
      <c r="C252" s="30">
        <f t="shared" si="68"/>
        <v>1577384.3314277933</v>
      </c>
      <c r="D252" s="27">
        <f t="shared" si="69"/>
        <v>-1706832.8913838058</v>
      </c>
      <c r="E252" s="27">
        <f t="shared" si="70"/>
        <v>-977.89328066026269</v>
      </c>
      <c r="F252" s="27">
        <f t="shared" si="71"/>
        <v>39304181.832458161</v>
      </c>
      <c r="G252" s="42"/>
      <c r="H252" s="28">
        <v>9</v>
      </c>
      <c r="I252" s="27">
        <f>NPV($B$33,B253:B$254)*(1+$B$33)</f>
        <v>3377022.6243691142</v>
      </c>
      <c r="J252" s="27">
        <f>NPV($B$33,D253:D$254)</f>
        <v>-42680200.618508726</v>
      </c>
      <c r="K252" s="27">
        <f>NPV($B$33,E253:E$254)</f>
        <v>-1003.8383185473256</v>
      </c>
      <c r="L252" s="27">
        <f t="shared" si="72"/>
        <v>39304181.832458161</v>
      </c>
      <c r="M252" s="27"/>
      <c r="N252" s="27"/>
    </row>
    <row r="253" spans="1:18" x14ac:dyDescent="0.25">
      <c r="A253" s="28">
        <v>10</v>
      </c>
      <c r="B253" s="27">
        <f t="shared" si="67"/>
        <v>3377022.6243691142</v>
      </c>
      <c r="C253" s="30">
        <f t="shared" si="68"/>
        <v>1707248.1782730911</v>
      </c>
      <c r="D253" s="27">
        <f t="shared" si="69"/>
        <v>-44387408.64324908</v>
      </c>
      <c r="E253" s="27">
        <f t="shared" si="70"/>
        <v>-1043.9918512892186</v>
      </c>
      <c r="F253" s="27">
        <f t="shared" si="71"/>
        <v>0</v>
      </c>
      <c r="G253" s="42"/>
      <c r="H253" s="28">
        <v>10</v>
      </c>
      <c r="I253" s="27">
        <f>NPV($B$33,B254:B$254)*(1+$B$33)</f>
        <v>0</v>
      </c>
      <c r="J253" s="27">
        <f>NPV($B$33,D254:D$254)</f>
        <v>0</v>
      </c>
      <c r="K253" s="27">
        <f>NPV($B$33,E254:E$254)</f>
        <v>0</v>
      </c>
      <c r="L253" s="27">
        <f t="shared" si="72"/>
        <v>0</v>
      </c>
      <c r="M253" s="27"/>
      <c r="N253" s="27"/>
    </row>
    <row r="254" spans="1:18" x14ac:dyDescent="0.25">
      <c r="B254" s="35"/>
      <c r="C254" s="35"/>
      <c r="D254" s="35"/>
      <c r="E254" s="35"/>
      <c r="F254" s="35"/>
      <c r="G254" s="35"/>
      <c r="H254" s="35"/>
      <c r="I254" s="35"/>
      <c r="J254" s="35"/>
    </row>
    <row r="255" spans="1:18" x14ac:dyDescent="0.25">
      <c r="A255" s="3" t="s">
        <v>9</v>
      </c>
      <c r="N255" s="3" t="s">
        <v>127</v>
      </c>
    </row>
    <row r="256" spans="1:18" x14ac:dyDescent="0.25">
      <c r="A256" s="3"/>
    </row>
    <row r="257" spans="1:21" x14ac:dyDescent="0.25">
      <c r="A257" s="3"/>
      <c r="G257" s="28" t="s">
        <v>11</v>
      </c>
      <c r="N257" s="3"/>
      <c r="T257" s="28" t="s">
        <v>11</v>
      </c>
    </row>
    <row r="258" spans="1:21" x14ac:dyDescent="0.25">
      <c r="B258" s="28"/>
      <c r="C258" s="28" t="s">
        <v>17</v>
      </c>
      <c r="D258" s="28" t="s">
        <v>10</v>
      </c>
      <c r="F258" s="28" t="s">
        <v>84</v>
      </c>
      <c r="G258" s="28" t="s">
        <v>67</v>
      </c>
      <c r="H258" s="28" t="s">
        <v>11</v>
      </c>
      <c r="O258" s="28"/>
      <c r="P258" s="28" t="s">
        <v>17</v>
      </c>
      <c r="Q258" s="28" t="s">
        <v>10</v>
      </c>
      <c r="S258" s="28" t="s">
        <v>128</v>
      </c>
      <c r="T258" s="28" t="s">
        <v>67</v>
      </c>
      <c r="U258" s="28" t="s">
        <v>11</v>
      </c>
    </row>
    <row r="259" spans="1:21" x14ac:dyDescent="0.25">
      <c r="A259" s="28" t="s">
        <v>0</v>
      </c>
      <c r="B259" s="28" t="s">
        <v>17</v>
      </c>
      <c r="C259" s="28" t="s">
        <v>27</v>
      </c>
      <c r="D259" s="28" t="s">
        <v>17</v>
      </c>
      <c r="E259" s="28" t="s">
        <v>42</v>
      </c>
      <c r="F259" s="28" t="s">
        <v>85</v>
      </c>
      <c r="G259" s="28" t="s">
        <v>72</v>
      </c>
      <c r="H259" s="28" t="s">
        <v>65</v>
      </c>
      <c r="N259" s="28" t="s">
        <v>0</v>
      </c>
      <c r="O259" s="28" t="s">
        <v>17</v>
      </c>
      <c r="P259" s="28" t="s">
        <v>27</v>
      </c>
      <c r="Q259" s="28" t="s">
        <v>17</v>
      </c>
      <c r="R259" s="28" t="s">
        <v>42</v>
      </c>
      <c r="S259" s="28" t="s">
        <v>129</v>
      </c>
      <c r="T259" s="28" t="s">
        <v>72</v>
      </c>
      <c r="U259" s="28" t="s">
        <v>65</v>
      </c>
    </row>
    <row r="260" spans="1:21" x14ac:dyDescent="0.25">
      <c r="A260" s="2" t="s">
        <v>1</v>
      </c>
      <c r="B260" s="2" t="s">
        <v>6</v>
      </c>
      <c r="C260" s="2" t="s">
        <v>28</v>
      </c>
      <c r="D260" s="2" t="s">
        <v>28</v>
      </c>
      <c r="E260" s="2" t="s">
        <v>26</v>
      </c>
      <c r="F260" s="2" t="s">
        <v>86</v>
      </c>
      <c r="G260" s="2" t="s">
        <v>73</v>
      </c>
      <c r="H260" s="2" t="s">
        <v>1</v>
      </c>
      <c r="N260" s="2" t="s">
        <v>1</v>
      </c>
      <c r="O260" s="2" t="s">
        <v>6</v>
      </c>
      <c r="P260" s="2" t="s">
        <v>28</v>
      </c>
      <c r="Q260" s="2" t="s">
        <v>28</v>
      </c>
      <c r="R260" s="2" t="s">
        <v>26</v>
      </c>
      <c r="S260" s="2" t="s">
        <v>130</v>
      </c>
      <c r="T260" s="2" t="s">
        <v>73</v>
      </c>
      <c r="U260" s="2" t="s">
        <v>1</v>
      </c>
    </row>
    <row r="261" spans="1:21" x14ac:dyDescent="0.25">
      <c r="E261" s="36"/>
      <c r="R261" s="36"/>
    </row>
    <row r="262" spans="1:21" x14ac:dyDescent="0.25">
      <c r="A262" s="20">
        <v>1</v>
      </c>
      <c r="B262" s="36">
        <f>Input!F60*'Actuarial balances'!E222</f>
        <v>6300000</v>
      </c>
      <c r="C262" s="36">
        <f>Input!H60*'Actuarial balances'!D203</f>
        <v>100000</v>
      </c>
      <c r="D262" s="36">
        <f>B262+C262</f>
        <v>6400000</v>
      </c>
      <c r="E262" s="36"/>
      <c r="G262" s="31"/>
      <c r="H262" s="36">
        <f>D$74*G262</f>
        <v>0</v>
      </c>
      <c r="N262" s="20">
        <v>1</v>
      </c>
      <c r="O262" s="36">
        <f>B262</f>
        <v>6300000</v>
      </c>
      <c r="P262" s="36">
        <f>C262</f>
        <v>100000</v>
      </c>
      <c r="Q262" s="36">
        <f>O262+P262</f>
        <v>6400000</v>
      </c>
      <c r="R262" s="36"/>
      <c r="T262" s="31"/>
      <c r="U262" s="36">
        <f>Q$74*T262</f>
        <v>0</v>
      </c>
    </row>
    <row r="263" spans="1:21" x14ac:dyDescent="0.25">
      <c r="A263" s="20">
        <v>2</v>
      </c>
      <c r="B263" s="36">
        <f>Input!F61*'Actuarial balances'!E223</f>
        <v>0</v>
      </c>
      <c r="C263" s="36">
        <v>0</v>
      </c>
      <c r="D263" s="36">
        <f t="shared" ref="D263:D271" si="73">B263+C263</f>
        <v>0</v>
      </c>
      <c r="E263" s="36"/>
      <c r="G263" s="31"/>
      <c r="H263" s="36">
        <f>D$74*G263</f>
        <v>0</v>
      </c>
      <c r="N263" s="20">
        <v>2</v>
      </c>
      <c r="O263" s="36">
        <f>Input!S134*'Actuarial balances'!R223</f>
        <v>0</v>
      </c>
      <c r="P263" s="36">
        <v>0</v>
      </c>
      <c r="Q263" s="36">
        <f t="shared" ref="Q263:Q271" si="74">O263+P263</f>
        <v>0</v>
      </c>
      <c r="R263" s="36"/>
      <c r="T263" s="31"/>
      <c r="U263" s="36">
        <f>Q$74*T263</f>
        <v>0</v>
      </c>
    </row>
    <row r="264" spans="1:21" x14ac:dyDescent="0.25">
      <c r="A264" s="20">
        <v>3</v>
      </c>
      <c r="B264" s="36">
        <f>Input!F62*'Actuarial balances'!E224</f>
        <v>0</v>
      </c>
      <c r="C264" s="36">
        <v>0</v>
      </c>
      <c r="D264" s="36">
        <f t="shared" si="73"/>
        <v>0</v>
      </c>
      <c r="E264" s="36"/>
      <c r="G264" s="31"/>
      <c r="H264" s="36">
        <f>D$74*G264</f>
        <v>0</v>
      </c>
      <c r="N264" s="20">
        <v>3</v>
      </c>
      <c r="O264" s="36">
        <f>Input!S135*'Actuarial balances'!R224</f>
        <v>0</v>
      </c>
      <c r="P264" s="36">
        <v>0</v>
      </c>
      <c r="Q264" s="36">
        <f t="shared" si="74"/>
        <v>0</v>
      </c>
      <c r="R264" s="36"/>
      <c r="T264" s="31"/>
      <c r="U264" s="36">
        <f>Q$74*T264</f>
        <v>0</v>
      </c>
    </row>
    <row r="265" spans="1:21" x14ac:dyDescent="0.25">
      <c r="A265" s="20">
        <v>4</v>
      </c>
      <c r="B265" s="36">
        <f>Input!F63*'Actuarial balances'!E225</f>
        <v>0</v>
      </c>
      <c r="C265" s="36">
        <v>0</v>
      </c>
      <c r="D265" s="36">
        <f t="shared" si="73"/>
        <v>0</v>
      </c>
      <c r="E265" s="36"/>
      <c r="G265" s="31"/>
      <c r="H265" s="36">
        <f>D$74*G265</f>
        <v>0</v>
      </c>
      <c r="N265" s="20">
        <v>4</v>
      </c>
      <c r="O265" s="36">
        <f>Input!S136*'Actuarial balances'!R225</f>
        <v>0</v>
      </c>
      <c r="P265" s="36">
        <v>0</v>
      </c>
      <c r="Q265" s="36">
        <f t="shared" si="74"/>
        <v>0</v>
      </c>
      <c r="R265" s="36">
        <f>E77</f>
        <v>61045.229342036298</v>
      </c>
      <c r="S265" s="36">
        <f>D95</f>
        <v>3109839.3269696543</v>
      </c>
      <c r="T265" s="31"/>
      <c r="U265" s="36">
        <f>Q$74*T265</f>
        <v>0</v>
      </c>
    </row>
    <row r="266" spans="1:21" x14ac:dyDescent="0.25">
      <c r="A266" s="20">
        <v>5</v>
      </c>
      <c r="B266" s="36">
        <f>Input!F64*'Actuarial balances'!E226</f>
        <v>0</v>
      </c>
      <c r="C266" s="36">
        <v>0</v>
      </c>
      <c r="D266" s="36">
        <f t="shared" si="73"/>
        <v>0</v>
      </c>
      <c r="E266" s="36">
        <f t="shared" ref="E266:E271" si="75">H208</f>
        <v>56071.752417081923</v>
      </c>
      <c r="F266" s="26">
        <f>MAX(0,1-E266/E78)</f>
        <v>3.2041012495998E-4</v>
      </c>
      <c r="G266" s="31"/>
      <c r="H266" s="36">
        <f>G78+D190*F266</f>
        <v>615389.2098303024</v>
      </c>
      <c r="J266" s="46" t="s">
        <v>87</v>
      </c>
      <c r="K266" s="46"/>
      <c r="L266" s="36">
        <f>H266-G78</f>
        <v>799.24699165998027</v>
      </c>
      <c r="N266" s="20">
        <v>5</v>
      </c>
      <c r="O266" s="36">
        <f>Input!S137*'Actuarial balances'!R226</f>
        <v>0</v>
      </c>
      <c r="P266" s="36">
        <v>0</v>
      </c>
      <c r="Q266" s="36">
        <f t="shared" si="74"/>
        <v>0</v>
      </c>
      <c r="R266" s="36">
        <f>E266</f>
        <v>56071.752417081923</v>
      </c>
      <c r="T266" s="31">
        <f>R265/R$273</f>
        <v>0.19770209815620143</v>
      </c>
      <c r="U266" s="36">
        <f>S$265*T266</f>
        <v>614821.75987057004</v>
      </c>
    </row>
    <row r="267" spans="1:21" x14ac:dyDescent="0.25">
      <c r="A267" s="20">
        <v>6</v>
      </c>
      <c r="B267" s="36">
        <f>Input!F65*'Actuarial balances'!E227</f>
        <v>0</v>
      </c>
      <c r="C267" s="36">
        <v>0</v>
      </c>
      <c r="D267" s="36">
        <f t="shared" si="73"/>
        <v>0</v>
      </c>
      <c r="E267" s="36">
        <f t="shared" si="75"/>
        <v>52070.074055156794</v>
      </c>
      <c r="G267" s="31">
        <f>E266/E$273</f>
        <v>0.22634349709489152</v>
      </c>
      <c r="H267" s="36">
        <f>D$284*G267</f>
        <v>564602.5048599164</v>
      </c>
      <c r="N267" s="20">
        <v>6</v>
      </c>
      <c r="O267" s="36">
        <f>Input!S138*'Actuarial balances'!R227</f>
        <v>0</v>
      </c>
      <c r="P267" s="36">
        <v>0</v>
      </c>
      <c r="Q267" s="36">
        <f t="shared" si="74"/>
        <v>0</v>
      </c>
      <c r="R267" s="36">
        <f t="shared" ref="R267:R271" si="76">E267</f>
        <v>52070.074055156794</v>
      </c>
      <c r="T267" s="31">
        <f t="shared" ref="T267:T271" si="77">R266/R$273</f>
        <v>0.18159491281521942</v>
      </c>
      <c r="U267" s="36">
        <f t="shared" ref="U267:U271" si="78">S$265*T267</f>
        <v>564731.00145039498</v>
      </c>
    </row>
    <row r="268" spans="1:21" x14ac:dyDescent="0.25">
      <c r="A268" s="20">
        <v>7</v>
      </c>
      <c r="B268" s="36">
        <f>Input!F66*'Actuarial balances'!E228</f>
        <v>0</v>
      </c>
      <c r="C268" s="36">
        <v>0</v>
      </c>
      <c r="D268" s="36">
        <f t="shared" si="73"/>
        <v>0</v>
      </c>
      <c r="E268" s="36">
        <f t="shared" si="75"/>
        <v>48864.668414161337</v>
      </c>
      <c r="G268" s="31">
        <f>E267/E$273</f>
        <v>0.21019001810337068</v>
      </c>
      <c r="H268" s="36">
        <f>D$284*G268</f>
        <v>524308.46143532824</v>
      </c>
      <c r="N268" s="20">
        <v>7</v>
      </c>
      <c r="O268" s="36">
        <f>Input!S139*'Actuarial balances'!R228</f>
        <v>0</v>
      </c>
      <c r="P268" s="36">
        <v>0</v>
      </c>
      <c r="Q268" s="36">
        <f t="shared" si="74"/>
        <v>0</v>
      </c>
      <c r="R268" s="36">
        <f t="shared" si="76"/>
        <v>48864.668414161337</v>
      </c>
      <c r="T268" s="31">
        <f t="shared" si="77"/>
        <v>0.16863501051284435</v>
      </c>
      <c r="U268" s="36">
        <f t="shared" si="78"/>
        <v>524427.78759678442</v>
      </c>
    </row>
    <row r="269" spans="1:21" x14ac:dyDescent="0.25">
      <c r="A269" s="20">
        <v>8</v>
      </c>
      <c r="B269" s="36">
        <f>Input!F67*'Actuarial balances'!E229</f>
        <v>0</v>
      </c>
      <c r="C269" s="36">
        <v>0</v>
      </c>
      <c r="D269" s="36">
        <f t="shared" si="73"/>
        <v>0</v>
      </c>
      <c r="E269" s="36">
        <f t="shared" si="75"/>
        <v>46334.673331450504</v>
      </c>
      <c r="G269" s="31">
        <f>E268/E$273</f>
        <v>0.19725083409153699</v>
      </c>
      <c r="H269" s="36">
        <f>D$284*G269</f>
        <v>492032.31567593868</v>
      </c>
      <c r="N269" s="20">
        <v>8</v>
      </c>
      <c r="O269" s="36">
        <f>Input!S140*'Actuarial balances'!R229</f>
        <v>0</v>
      </c>
      <c r="P269" s="36">
        <v>0</v>
      </c>
      <c r="Q269" s="36">
        <f t="shared" si="74"/>
        <v>0</v>
      </c>
      <c r="R269" s="36">
        <f t="shared" si="76"/>
        <v>46334.673331450504</v>
      </c>
      <c r="T269" s="31">
        <f t="shared" si="77"/>
        <v>0.15825393032857935</v>
      </c>
      <c r="U269" s="36">
        <f t="shared" si="78"/>
        <v>492144.29618333175</v>
      </c>
    </row>
    <row r="270" spans="1:21" x14ac:dyDescent="0.25">
      <c r="A270" s="20">
        <v>9</v>
      </c>
      <c r="B270" s="36">
        <f>Input!F68*'Actuarial balances'!E230</f>
        <v>0</v>
      </c>
      <c r="C270" s="36">
        <v>0</v>
      </c>
      <c r="D270" s="36">
        <f t="shared" si="73"/>
        <v>0</v>
      </c>
      <c r="E270" s="36">
        <f t="shared" si="75"/>
        <v>44387.408643249095</v>
      </c>
      <c r="G270" s="31">
        <f>E269/E$273</f>
        <v>0.18703806366848891</v>
      </c>
      <c r="H270" s="36">
        <f>D$284*G270</f>
        <v>466557.07191404328</v>
      </c>
      <c r="N270" s="20">
        <v>9</v>
      </c>
      <c r="O270" s="36">
        <f>Input!S141*'Actuarial balances'!R230</f>
        <v>0</v>
      </c>
      <c r="P270" s="36">
        <v>0</v>
      </c>
      <c r="Q270" s="36">
        <f t="shared" si="74"/>
        <v>0</v>
      </c>
      <c r="R270" s="36">
        <f t="shared" si="76"/>
        <v>44387.408643249095</v>
      </c>
      <c r="T270" s="31">
        <f t="shared" si="77"/>
        <v>0.15006024604615548</v>
      </c>
      <c r="U270" s="36">
        <f t="shared" si="78"/>
        <v>466663.25456907687</v>
      </c>
    </row>
    <row r="271" spans="1:21" x14ac:dyDescent="0.25">
      <c r="A271" s="20">
        <v>10</v>
      </c>
      <c r="B271" s="36">
        <f>Input!F69*'Actuarial balances'!E231</f>
        <v>0</v>
      </c>
      <c r="C271" s="36">
        <v>0</v>
      </c>
      <c r="D271" s="36">
        <f t="shared" si="73"/>
        <v>0</v>
      </c>
      <c r="E271" s="36">
        <f t="shared" si="75"/>
        <v>0</v>
      </c>
      <c r="G271" s="31">
        <f>E270/E$273</f>
        <v>0.17917758704171188</v>
      </c>
      <c r="H271" s="36">
        <f>D$284*G271</f>
        <v>446949.50708521792</v>
      </c>
      <c r="N271" s="20">
        <v>10</v>
      </c>
      <c r="O271" s="36">
        <f>Input!S142*'Actuarial balances'!R231</f>
        <v>0</v>
      </c>
      <c r="P271" s="36">
        <v>0</v>
      </c>
      <c r="Q271" s="36">
        <f t="shared" si="74"/>
        <v>0</v>
      </c>
      <c r="R271" s="36">
        <f t="shared" si="76"/>
        <v>0</v>
      </c>
      <c r="T271" s="31">
        <f t="shared" si="77"/>
        <v>0.14375380214100006</v>
      </c>
      <c r="U271" s="36">
        <f t="shared" si="78"/>
        <v>447051.22729949647</v>
      </c>
    </row>
    <row r="272" spans="1:21" x14ac:dyDescent="0.25">
      <c r="B272" s="36"/>
      <c r="C272" s="36"/>
      <c r="D272" s="36"/>
      <c r="E272" s="36"/>
      <c r="F272" s="31"/>
      <c r="G272" s="36"/>
      <c r="O272" s="36"/>
      <c r="P272" s="36"/>
      <c r="Q272" s="36"/>
      <c r="R272" s="36"/>
      <c r="S272" s="31"/>
      <c r="T272" s="36"/>
    </row>
    <row r="273" spans="1:20" x14ac:dyDescent="0.25">
      <c r="A273" s="28" t="s">
        <v>64</v>
      </c>
      <c r="B273" s="36"/>
      <c r="C273" s="36"/>
      <c r="D273" s="36"/>
      <c r="E273" s="36">
        <f>SUM(E266:E271)</f>
        <v>247728.57686109966</v>
      </c>
      <c r="F273" s="31"/>
      <c r="G273" s="36"/>
      <c r="N273" s="28" t="s">
        <v>64</v>
      </c>
      <c r="O273" s="36"/>
      <c r="P273" s="36"/>
      <c r="Q273" s="36"/>
      <c r="R273" s="36">
        <f>SUM(R264:R272)</f>
        <v>308773.80620313593</v>
      </c>
      <c r="S273" s="31"/>
      <c r="T273" s="38"/>
    </row>
    <row r="274" spans="1:20" x14ac:dyDescent="0.25">
      <c r="B274" s="36"/>
      <c r="C274" s="36"/>
      <c r="D274" s="36"/>
      <c r="E274" s="36"/>
      <c r="F274" s="31"/>
      <c r="G274" s="36"/>
    </row>
    <row r="275" spans="1:20" x14ac:dyDescent="0.25">
      <c r="A275" s="3" t="s">
        <v>29</v>
      </c>
      <c r="F275" s="31"/>
      <c r="G275" s="36"/>
    </row>
    <row r="276" spans="1:20" x14ac:dyDescent="0.25">
      <c r="A276" s="3"/>
    </row>
    <row r="277" spans="1:20" x14ac:dyDescent="0.25">
      <c r="B277" s="28"/>
      <c r="C277" s="28"/>
      <c r="D277" s="28" t="s">
        <v>9</v>
      </c>
      <c r="O277" s="28"/>
      <c r="P277" s="28"/>
      <c r="Q277" s="28" t="s">
        <v>9</v>
      </c>
    </row>
    <row r="278" spans="1:20" x14ac:dyDescent="0.25">
      <c r="B278" s="2" t="s">
        <v>30</v>
      </c>
      <c r="C278" s="2" t="s">
        <v>11</v>
      </c>
      <c r="D278" s="2" t="s">
        <v>26</v>
      </c>
      <c r="E278" s="5" t="s">
        <v>71</v>
      </c>
      <c r="N278" s="2" t="s">
        <v>1</v>
      </c>
      <c r="O278" s="2" t="s">
        <v>30</v>
      </c>
      <c r="P278" s="2" t="s">
        <v>11</v>
      </c>
      <c r="Q278" s="2" t="s">
        <v>26</v>
      </c>
      <c r="R278" s="5" t="s">
        <v>71</v>
      </c>
    </row>
    <row r="279" spans="1:20" x14ac:dyDescent="0.25">
      <c r="D279" s="36">
        <v>0</v>
      </c>
    </row>
    <row r="280" spans="1:20" x14ac:dyDescent="0.25">
      <c r="A280" s="20">
        <v>1</v>
      </c>
      <c r="B280" s="36">
        <f t="shared" ref="B280:B289" si="79">D262</f>
        <v>6400000</v>
      </c>
      <c r="C280" s="36">
        <f>C186</f>
        <v>-1006778.0389440364</v>
      </c>
      <c r="D280" s="36">
        <f>D279+B280+C280</f>
        <v>5393221.9610559633</v>
      </c>
      <c r="E280" s="20" t="s">
        <v>69</v>
      </c>
      <c r="N280" s="20">
        <v>1</v>
      </c>
      <c r="O280" s="36">
        <f t="shared" ref="O280:R283" si="80">B280</f>
        <v>6400000</v>
      </c>
      <c r="P280" s="36">
        <f t="shared" si="80"/>
        <v>-1006778.0389440364</v>
      </c>
      <c r="Q280" s="36">
        <f t="shared" si="80"/>
        <v>5393221.9610559633</v>
      </c>
      <c r="R280" s="20" t="str">
        <f t="shared" si="80"/>
        <v>from original schedule</v>
      </c>
    </row>
    <row r="281" spans="1:20" x14ac:dyDescent="0.25">
      <c r="A281" s="20">
        <v>2</v>
      </c>
      <c r="B281" s="36">
        <f t="shared" si="79"/>
        <v>0</v>
      </c>
      <c r="C281" s="36">
        <f>C187</f>
        <v>-855222.20346257626</v>
      </c>
      <c r="D281" s="36">
        <f t="shared" ref="D281:D289" si="81">D280+B281+C281</f>
        <v>4537999.7575933868</v>
      </c>
      <c r="E281" s="20" t="s">
        <v>69</v>
      </c>
      <c r="N281" s="20">
        <v>2</v>
      </c>
      <c r="O281" s="36">
        <f t="shared" si="80"/>
        <v>0</v>
      </c>
      <c r="P281" s="36">
        <f t="shared" si="80"/>
        <v>-855222.20346257626</v>
      </c>
      <c r="Q281" s="36">
        <f t="shared" si="80"/>
        <v>4537999.7575933868</v>
      </c>
      <c r="R281" s="20" t="str">
        <f t="shared" si="80"/>
        <v>from original schedule</v>
      </c>
    </row>
    <row r="282" spans="1:20" x14ac:dyDescent="0.25">
      <c r="A282" s="20">
        <v>3</v>
      </c>
      <c r="B282" s="36">
        <f t="shared" si="79"/>
        <v>0</v>
      </c>
      <c r="C282" s="36">
        <f>C188</f>
        <v>-752016.04048200091</v>
      </c>
      <c r="D282" s="36">
        <f t="shared" si="81"/>
        <v>3785983.7171113859</v>
      </c>
      <c r="E282" s="20" t="s">
        <v>69</v>
      </c>
      <c r="N282" s="20">
        <v>3</v>
      </c>
      <c r="O282" s="36">
        <f t="shared" si="80"/>
        <v>0</v>
      </c>
      <c r="P282" s="36">
        <f t="shared" si="80"/>
        <v>-752016.04048200091</v>
      </c>
      <c r="Q282" s="36">
        <f t="shared" si="80"/>
        <v>3785983.7171113859</v>
      </c>
      <c r="R282" s="20" t="str">
        <f t="shared" si="80"/>
        <v>from original schedule</v>
      </c>
    </row>
    <row r="283" spans="1:20" x14ac:dyDescent="0.25">
      <c r="A283" s="20">
        <v>4</v>
      </c>
      <c r="B283" s="36">
        <f t="shared" si="79"/>
        <v>0</v>
      </c>
      <c r="C283" s="36">
        <f>C189</f>
        <v>-676144.39014173136</v>
      </c>
      <c r="D283" s="36">
        <f t="shared" si="81"/>
        <v>3109839.3269696543</v>
      </c>
      <c r="E283" s="20" t="s">
        <v>69</v>
      </c>
      <c r="N283" s="20">
        <v>4</v>
      </c>
      <c r="O283" s="36">
        <f t="shared" si="80"/>
        <v>0</v>
      </c>
      <c r="P283" s="36">
        <f t="shared" si="80"/>
        <v>-676144.39014173136</v>
      </c>
      <c r="Q283" s="36">
        <f t="shared" si="80"/>
        <v>3109839.3269696543</v>
      </c>
      <c r="R283" s="20" t="str">
        <f t="shared" si="80"/>
        <v>from original schedule</v>
      </c>
    </row>
    <row r="284" spans="1:20" x14ac:dyDescent="0.25">
      <c r="A284" s="20">
        <v>5</v>
      </c>
      <c r="B284" s="36">
        <f t="shared" si="79"/>
        <v>0</v>
      </c>
      <c r="C284" s="36">
        <f>C190</f>
        <v>-615389.4659992099</v>
      </c>
      <c r="D284" s="36">
        <f t="shared" si="81"/>
        <v>2494449.8609704445</v>
      </c>
      <c r="E284" s="20" t="s">
        <v>74</v>
      </c>
      <c r="N284" s="20">
        <v>5</v>
      </c>
      <c r="P284" s="36">
        <f>-U266</f>
        <v>-614821.75987057004</v>
      </c>
      <c r="Q284" s="36">
        <f>Q283+P284</f>
        <v>2495017.5670990841</v>
      </c>
      <c r="R284" s="20" t="s">
        <v>131</v>
      </c>
    </row>
    <row r="285" spans="1:20" x14ac:dyDescent="0.25">
      <c r="A285" s="20">
        <v>6</v>
      </c>
      <c r="B285" s="36">
        <f t="shared" si="79"/>
        <v>0</v>
      </c>
      <c r="C285" s="36">
        <f>-H267</f>
        <v>-564602.5048599164</v>
      </c>
      <c r="D285" s="36">
        <f t="shared" si="81"/>
        <v>1929847.3561105281</v>
      </c>
      <c r="E285" s="20" t="s">
        <v>70</v>
      </c>
      <c r="N285" s="20">
        <v>6</v>
      </c>
      <c r="P285" s="36">
        <f t="shared" ref="P285:P289" si="82">-U267</f>
        <v>-564731.00145039498</v>
      </c>
      <c r="Q285" s="36">
        <f t="shared" ref="Q285:Q289" si="83">Q284+P285</f>
        <v>1930286.5656486892</v>
      </c>
      <c r="R285" s="20" t="s">
        <v>131</v>
      </c>
    </row>
    <row r="286" spans="1:20" x14ac:dyDescent="0.25">
      <c r="A286" s="20">
        <v>7</v>
      </c>
      <c r="B286" s="36">
        <f t="shared" si="79"/>
        <v>0</v>
      </c>
      <c r="C286" s="36">
        <f>-H268</f>
        <v>-524308.46143532824</v>
      </c>
      <c r="D286" s="36">
        <f t="shared" si="81"/>
        <v>1405538.8946751999</v>
      </c>
      <c r="E286" s="20" t="s">
        <v>70</v>
      </c>
      <c r="N286" s="20">
        <v>7</v>
      </c>
      <c r="P286" s="36">
        <f t="shared" si="82"/>
        <v>-524427.78759678442</v>
      </c>
      <c r="Q286" s="36">
        <f t="shared" si="83"/>
        <v>1405858.7780519049</v>
      </c>
      <c r="R286" s="20" t="s">
        <v>131</v>
      </c>
    </row>
    <row r="287" spans="1:20" x14ac:dyDescent="0.25">
      <c r="A287" s="20">
        <v>8</v>
      </c>
      <c r="B287" s="36">
        <f t="shared" si="79"/>
        <v>0</v>
      </c>
      <c r="C287" s="36">
        <f>-H269</f>
        <v>-492032.31567593868</v>
      </c>
      <c r="D287" s="36">
        <f t="shared" si="81"/>
        <v>913506.57899926114</v>
      </c>
      <c r="E287" s="20" t="s">
        <v>70</v>
      </c>
      <c r="N287" s="20">
        <v>8</v>
      </c>
      <c r="P287" s="36">
        <f t="shared" si="82"/>
        <v>-492144.29618333175</v>
      </c>
      <c r="Q287" s="36">
        <f t="shared" si="83"/>
        <v>913714.48186857312</v>
      </c>
      <c r="R287" s="20" t="s">
        <v>131</v>
      </c>
    </row>
    <row r="288" spans="1:20" x14ac:dyDescent="0.25">
      <c r="A288" s="20">
        <v>9</v>
      </c>
      <c r="B288" s="36">
        <f t="shared" si="79"/>
        <v>0</v>
      </c>
      <c r="C288" s="36">
        <f>-H270</f>
        <v>-466557.07191404328</v>
      </c>
      <c r="D288" s="36">
        <f t="shared" si="81"/>
        <v>446949.50708521786</v>
      </c>
      <c r="E288" s="20" t="s">
        <v>70</v>
      </c>
      <c r="N288" s="20">
        <v>9</v>
      </c>
      <c r="P288" s="36">
        <f t="shared" si="82"/>
        <v>-466663.25456907687</v>
      </c>
      <c r="Q288" s="36">
        <f t="shared" si="83"/>
        <v>447051.22729949624</v>
      </c>
      <c r="R288" s="20" t="s">
        <v>131</v>
      </c>
    </row>
    <row r="289" spans="1:18" x14ac:dyDescent="0.25">
      <c r="A289" s="20">
        <v>10</v>
      </c>
      <c r="B289" s="36">
        <f t="shared" si="79"/>
        <v>0</v>
      </c>
      <c r="C289" s="36">
        <f>-H271</f>
        <v>-446949.50708521792</v>
      </c>
      <c r="D289" s="36">
        <f t="shared" si="81"/>
        <v>0</v>
      </c>
      <c r="E289" s="20" t="s">
        <v>70</v>
      </c>
      <c r="N289" s="20">
        <v>10</v>
      </c>
      <c r="P289" s="36">
        <f t="shared" si="82"/>
        <v>-447051.22729949647</v>
      </c>
      <c r="Q289" s="36">
        <f t="shared" si="83"/>
        <v>0</v>
      </c>
      <c r="R289" s="20" t="s">
        <v>131</v>
      </c>
    </row>
    <row r="291" spans="1:18" x14ac:dyDescent="0.25">
      <c r="N291" s="28"/>
    </row>
  </sheetData>
  <mergeCells count="1">
    <mergeCell ref="O29:Q29"/>
  </mergeCell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election activeCell="J22" sqref="J22"/>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1"/>
  <sheetViews>
    <sheetView zoomScaleNormal="100" workbookViewId="0">
      <selection activeCell="A5" sqref="A5"/>
    </sheetView>
  </sheetViews>
  <sheetFormatPr defaultColWidth="8.7109375" defaultRowHeight="15" x14ac:dyDescent="0.25"/>
  <cols>
    <col min="1" max="1" width="30.5703125" style="20" bestFit="1" customWidth="1"/>
    <col min="2" max="2" width="10" style="20" bestFit="1" customWidth="1"/>
    <col min="3" max="4" width="11.85546875" style="20" customWidth="1"/>
    <col min="5" max="5" width="13.42578125" style="20" bestFit="1" customWidth="1"/>
    <col min="6" max="6" width="14" style="20" bestFit="1" customWidth="1"/>
    <col min="7" max="7" width="13.5703125" style="20" bestFit="1" customWidth="1"/>
    <col min="8" max="14" width="11.85546875" style="20" customWidth="1"/>
    <col min="15" max="16384" width="8.7109375" style="20"/>
  </cols>
  <sheetData>
    <row r="1" spans="1:13" x14ac:dyDescent="0.25">
      <c r="A1" s="21" t="s">
        <v>139</v>
      </c>
    </row>
    <row r="2" spans="1:13" x14ac:dyDescent="0.25">
      <c r="A2" s="6" t="s">
        <v>140</v>
      </c>
    </row>
    <row r="3" spans="1:13" x14ac:dyDescent="0.25">
      <c r="A3" s="23" t="s">
        <v>141</v>
      </c>
    </row>
    <row r="4" spans="1:13" x14ac:dyDescent="0.25">
      <c r="A4" s="24" t="s">
        <v>152</v>
      </c>
    </row>
    <row r="6" spans="1:13" x14ac:dyDescent="0.25">
      <c r="A6" s="1" t="s">
        <v>52</v>
      </c>
    </row>
    <row r="7" spans="1:13" x14ac:dyDescent="0.25">
      <c r="A7" s="1" t="s">
        <v>12</v>
      </c>
    </row>
    <row r="9" spans="1:13" x14ac:dyDescent="0.25">
      <c r="A9" s="1" t="s">
        <v>61</v>
      </c>
    </row>
    <row r="10" spans="1:13" x14ac:dyDescent="0.25">
      <c r="A10" s="1"/>
    </row>
    <row r="11" spans="1:13" x14ac:dyDescent="0.25">
      <c r="A11" s="1" t="s">
        <v>134</v>
      </c>
    </row>
    <row r="13" spans="1:13" x14ac:dyDescent="0.25">
      <c r="A13" s="20" t="s">
        <v>13</v>
      </c>
      <c r="B13" s="18">
        <f>Input!B10</f>
        <v>1000</v>
      </c>
      <c r="E13" s="20" t="s">
        <v>88</v>
      </c>
      <c r="F13" s="12">
        <v>0.1</v>
      </c>
      <c r="H13" s="20" t="s">
        <v>90</v>
      </c>
      <c r="J13" s="13">
        <v>-5.0000000000000001E-3</v>
      </c>
    </row>
    <row r="14" spans="1:13" x14ac:dyDescent="0.25">
      <c r="A14" s="20" t="s">
        <v>41</v>
      </c>
      <c r="B14" s="18">
        <f>Input!B11</f>
        <v>100</v>
      </c>
      <c r="E14" s="26" t="s">
        <v>89</v>
      </c>
      <c r="F14" s="12">
        <v>-0.05</v>
      </c>
    </row>
    <row r="15" spans="1:13" x14ac:dyDescent="0.25">
      <c r="B15" s="27"/>
      <c r="E15" s="26"/>
    </row>
    <row r="16" spans="1:13" x14ac:dyDescent="0.25">
      <c r="B16" s="28"/>
      <c r="C16" s="28" t="s">
        <v>15</v>
      </c>
      <c r="D16" s="28"/>
      <c r="E16" s="28"/>
      <c r="F16" s="28"/>
      <c r="G16" s="28"/>
      <c r="H16" s="28"/>
      <c r="I16" s="28"/>
      <c r="J16" s="28"/>
      <c r="K16" s="28"/>
      <c r="L16" s="28"/>
      <c r="M16" s="28"/>
    </row>
    <row r="17" spans="1:14" x14ac:dyDescent="0.25">
      <c r="A17" s="29"/>
      <c r="B17" s="28"/>
      <c r="C17" s="28" t="s">
        <v>14</v>
      </c>
      <c r="D17" s="28" t="s">
        <v>39</v>
      </c>
      <c r="E17" s="28"/>
      <c r="F17" s="28" t="s">
        <v>17</v>
      </c>
      <c r="G17" s="28" t="s">
        <v>18</v>
      </c>
      <c r="H17" s="28" t="s">
        <v>18</v>
      </c>
      <c r="I17" s="28" t="s">
        <v>18</v>
      </c>
      <c r="J17" s="28" t="s">
        <v>75</v>
      </c>
      <c r="K17" s="28"/>
      <c r="L17" s="28"/>
      <c r="M17" s="28"/>
    </row>
    <row r="18" spans="1:14" x14ac:dyDescent="0.25">
      <c r="A18" s="28" t="s">
        <v>0</v>
      </c>
      <c r="B18" s="28" t="s">
        <v>4</v>
      </c>
      <c r="C18" s="28" t="s">
        <v>36</v>
      </c>
      <c r="D18" s="28" t="s">
        <v>38</v>
      </c>
      <c r="E18" s="28" t="s">
        <v>6</v>
      </c>
      <c r="F18" s="28" t="s">
        <v>6</v>
      </c>
      <c r="G18" s="28" t="s">
        <v>19</v>
      </c>
      <c r="H18" s="28" t="s">
        <v>20</v>
      </c>
      <c r="I18" s="28" t="s">
        <v>7</v>
      </c>
      <c r="J18" s="28" t="s">
        <v>76</v>
      </c>
      <c r="K18" s="28" t="s">
        <v>33</v>
      </c>
      <c r="L18" s="28" t="s">
        <v>2</v>
      </c>
      <c r="M18" s="28" t="s">
        <v>8</v>
      </c>
      <c r="N18" s="28" t="s">
        <v>37</v>
      </c>
    </row>
    <row r="19" spans="1:14" x14ac:dyDescent="0.25">
      <c r="A19" s="2" t="s">
        <v>1</v>
      </c>
      <c r="B19" s="2" t="s">
        <v>35</v>
      </c>
      <c r="C19" s="2" t="s">
        <v>16</v>
      </c>
      <c r="D19" s="2" t="s">
        <v>3</v>
      </c>
      <c r="E19" s="2" t="s">
        <v>3</v>
      </c>
      <c r="F19" s="2" t="s">
        <v>3</v>
      </c>
      <c r="G19" s="2" t="s">
        <v>5</v>
      </c>
      <c r="H19" s="2" t="s">
        <v>5</v>
      </c>
      <c r="I19" s="2" t="s">
        <v>5</v>
      </c>
      <c r="J19" s="2" t="s">
        <v>5</v>
      </c>
      <c r="K19" s="2" t="s">
        <v>34</v>
      </c>
      <c r="L19" s="2" t="s">
        <v>3</v>
      </c>
      <c r="M19" s="2" t="s">
        <v>3</v>
      </c>
      <c r="N19" s="2" t="s">
        <v>35</v>
      </c>
    </row>
    <row r="20" spans="1:14" x14ac:dyDescent="0.25">
      <c r="A20" s="28"/>
      <c r="N20" s="30"/>
    </row>
    <row r="21" spans="1:14" x14ac:dyDescent="0.25">
      <c r="A21" s="28">
        <v>1</v>
      </c>
      <c r="B21" s="15">
        <f>Input!B18</f>
        <v>90</v>
      </c>
      <c r="C21" s="16">
        <f>Input!C18</f>
        <v>4.2500000000000003E-2</v>
      </c>
      <c r="D21" s="26">
        <f>C21+$J$13</f>
        <v>3.7500000000000006E-2</v>
      </c>
      <c r="E21" s="17">
        <f>Input!E18</f>
        <v>0.75</v>
      </c>
      <c r="F21" s="31">
        <f>E21-E30</f>
        <v>0.7</v>
      </c>
      <c r="G21" s="18">
        <f>Input!G18</f>
        <v>200</v>
      </c>
      <c r="H21" s="18">
        <f>Input!H18</f>
        <v>100</v>
      </c>
      <c r="I21" s="15">
        <f>Input!I18</f>
        <v>35</v>
      </c>
      <c r="J21" s="15">
        <f>Input!J18</f>
        <v>1000</v>
      </c>
      <c r="K21" s="16">
        <f>Input!K18</f>
        <v>2.2499999999999999E-2</v>
      </c>
      <c r="L21" s="19">
        <f>(1+$F$13)*Input!L18</f>
        <v>6.9300000000000004E-4</v>
      </c>
      <c r="M21" s="17">
        <f>(1+$F$14)*Input!M18</f>
        <v>0.14249999999999999</v>
      </c>
      <c r="N21" s="15">
        <f>Input!N18</f>
        <v>0</v>
      </c>
    </row>
    <row r="22" spans="1:14" x14ac:dyDescent="0.25">
      <c r="A22" s="28">
        <v>2</v>
      </c>
      <c r="B22" s="15">
        <f>Input!B19</f>
        <v>90</v>
      </c>
      <c r="C22" s="16">
        <f>Input!C19</f>
        <v>4.2500000000000003E-2</v>
      </c>
      <c r="D22" s="26">
        <f t="shared" ref="D22:D30" si="0">C22+$J$13</f>
        <v>3.7500000000000006E-2</v>
      </c>
      <c r="E22" s="17">
        <f>Input!E19</f>
        <v>0.05</v>
      </c>
      <c r="F22" s="31">
        <v>0</v>
      </c>
      <c r="G22" s="18">
        <f>Input!G19</f>
        <v>0.04</v>
      </c>
      <c r="H22" s="18">
        <f>Input!H19</f>
        <v>0.02</v>
      </c>
      <c r="I22" s="15">
        <f>Input!I19</f>
        <v>35.700000000000003</v>
      </c>
      <c r="J22" s="15">
        <f>Input!J19</f>
        <v>1000</v>
      </c>
      <c r="K22" s="16">
        <f>Input!K19</f>
        <v>2.2499999999999999E-2</v>
      </c>
      <c r="L22" s="19">
        <f>(1+$F$13)*Input!L19</f>
        <v>8.4699999999999999E-4</v>
      </c>
      <c r="M22" s="17">
        <f>(1+$F$14)*Input!M19</f>
        <v>0.11399999999999999</v>
      </c>
      <c r="N22" s="15">
        <f>Input!N19</f>
        <v>100</v>
      </c>
    </row>
    <row r="23" spans="1:14" x14ac:dyDescent="0.25">
      <c r="A23" s="28">
        <v>3</v>
      </c>
      <c r="B23" s="15">
        <f>Input!B20</f>
        <v>90</v>
      </c>
      <c r="C23" s="16">
        <f>Input!C20</f>
        <v>4.2500000000000003E-2</v>
      </c>
      <c r="D23" s="26">
        <f t="shared" si="0"/>
        <v>3.7500000000000006E-2</v>
      </c>
      <c r="E23" s="17">
        <f>Input!E20</f>
        <v>0.05</v>
      </c>
      <c r="F23" s="31">
        <v>0</v>
      </c>
      <c r="G23" s="18">
        <f>Input!G20</f>
        <v>0.04</v>
      </c>
      <c r="H23" s="18">
        <f>Input!H20</f>
        <v>0.02</v>
      </c>
      <c r="I23" s="15">
        <f>Input!I20</f>
        <v>36.414000000000001</v>
      </c>
      <c r="J23" s="15">
        <f>Input!J20</f>
        <v>1000</v>
      </c>
      <c r="K23" s="16">
        <f>Input!K20</f>
        <v>2.2499999999999999E-2</v>
      </c>
      <c r="L23" s="19">
        <f>(1+$F$13)*Input!L20</f>
        <v>1.0890000000000001E-3</v>
      </c>
      <c r="M23" s="17">
        <f>(1+$F$14)*Input!M20</f>
        <v>9.5000000000000001E-2</v>
      </c>
      <c r="N23" s="15">
        <f>Input!N20</f>
        <v>210</v>
      </c>
    </row>
    <row r="24" spans="1:14" x14ac:dyDescent="0.25">
      <c r="A24" s="28">
        <v>4</v>
      </c>
      <c r="B24" s="15">
        <f>Input!B21</f>
        <v>90</v>
      </c>
      <c r="C24" s="16">
        <f>Input!C21</f>
        <v>4.2500000000000003E-2</v>
      </c>
      <c r="D24" s="26">
        <f t="shared" si="0"/>
        <v>3.7500000000000006E-2</v>
      </c>
      <c r="E24" s="17">
        <f>Input!E21</f>
        <v>0.05</v>
      </c>
      <c r="F24" s="31">
        <v>0</v>
      </c>
      <c r="G24" s="18">
        <f>Input!G21</f>
        <v>0.04</v>
      </c>
      <c r="H24" s="18">
        <f>Input!H21</f>
        <v>0.02</v>
      </c>
      <c r="I24" s="15">
        <f>Input!I21</f>
        <v>37.14228</v>
      </c>
      <c r="J24" s="15">
        <f>Input!J21</f>
        <v>1000</v>
      </c>
      <c r="K24" s="16">
        <f>Input!K21</f>
        <v>2.2499999999999999E-2</v>
      </c>
      <c r="L24" s="19">
        <f>(1+$F$13)*Input!L21</f>
        <v>1.2540000000000001E-3</v>
      </c>
      <c r="M24" s="17">
        <f>(1+$F$14)*Input!M21</f>
        <v>8.5499999999999993E-2</v>
      </c>
      <c r="N24" s="15">
        <f>Input!N21</f>
        <v>320</v>
      </c>
    </row>
    <row r="25" spans="1:14" x14ac:dyDescent="0.25">
      <c r="A25" s="28">
        <v>5</v>
      </c>
      <c r="B25" s="15">
        <f>Input!B22</f>
        <v>90</v>
      </c>
      <c r="C25" s="16">
        <f>Input!C22</f>
        <v>4.2500000000000003E-2</v>
      </c>
      <c r="D25" s="26">
        <f t="shared" si="0"/>
        <v>3.7500000000000006E-2</v>
      </c>
      <c r="E25" s="17">
        <f>Input!E22</f>
        <v>0.05</v>
      </c>
      <c r="F25" s="31">
        <v>0</v>
      </c>
      <c r="G25" s="18">
        <f>Input!G22</f>
        <v>0.04</v>
      </c>
      <c r="H25" s="18">
        <f>Input!H22</f>
        <v>0.02</v>
      </c>
      <c r="I25" s="15">
        <f>Input!I22</f>
        <v>37.885125600000002</v>
      </c>
      <c r="J25" s="15">
        <f>Input!J22</f>
        <v>1000</v>
      </c>
      <c r="K25" s="16">
        <f>Input!K22</f>
        <v>2.2499999999999999E-2</v>
      </c>
      <c r="L25" s="19">
        <f>(1+$F$13)*Input!L22</f>
        <v>1.4080000000000002E-3</v>
      </c>
      <c r="M25" s="17">
        <f>(1+$F$14)*Input!M22</f>
        <v>7.5999999999999998E-2</v>
      </c>
      <c r="N25" s="15">
        <f>Input!N22</f>
        <v>430</v>
      </c>
    </row>
    <row r="26" spans="1:14" x14ac:dyDescent="0.25">
      <c r="A26" s="28">
        <v>6</v>
      </c>
      <c r="B26" s="15">
        <f>Input!B23</f>
        <v>90</v>
      </c>
      <c r="C26" s="16">
        <f>Input!C23</f>
        <v>4.2500000000000003E-2</v>
      </c>
      <c r="D26" s="26">
        <f t="shared" si="0"/>
        <v>3.7500000000000006E-2</v>
      </c>
      <c r="E26" s="17">
        <f>Input!E23</f>
        <v>0.05</v>
      </c>
      <c r="F26" s="31">
        <v>0</v>
      </c>
      <c r="G26" s="18">
        <f>Input!G23</f>
        <v>0.04</v>
      </c>
      <c r="H26" s="18">
        <f>Input!H23</f>
        <v>0.02</v>
      </c>
      <c r="I26" s="15">
        <f>Input!I23</f>
        <v>38.642828112000004</v>
      </c>
      <c r="J26" s="15">
        <f>Input!J23</f>
        <v>1000</v>
      </c>
      <c r="K26" s="16">
        <f>Input!K23</f>
        <v>2.2499999999999999E-2</v>
      </c>
      <c r="L26" s="19">
        <f>(1+$F$13)*Input!L23</f>
        <v>1.5400000000000001E-3</v>
      </c>
      <c r="M26" s="17">
        <f>(1+$F$14)*Input!M23</f>
        <v>6.6500000000000004E-2</v>
      </c>
      <c r="N26" s="15">
        <f>Input!N23</f>
        <v>540</v>
      </c>
    </row>
    <row r="27" spans="1:14" x14ac:dyDescent="0.25">
      <c r="A27" s="28">
        <v>7</v>
      </c>
      <c r="B27" s="15">
        <f>Input!B24</f>
        <v>90</v>
      </c>
      <c r="C27" s="16">
        <f>Input!C24</f>
        <v>4.2500000000000003E-2</v>
      </c>
      <c r="D27" s="26">
        <f t="shared" si="0"/>
        <v>3.7500000000000006E-2</v>
      </c>
      <c r="E27" s="17">
        <f>Input!E24</f>
        <v>0.05</v>
      </c>
      <c r="F27" s="31">
        <v>0</v>
      </c>
      <c r="G27" s="18">
        <f>Input!G24</f>
        <v>0.04</v>
      </c>
      <c r="H27" s="18">
        <f>Input!H24</f>
        <v>0.02</v>
      </c>
      <c r="I27" s="15">
        <f>Input!I24</f>
        <v>39.415684674240005</v>
      </c>
      <c r="J27" s="15">
        <f>Input!J24</f>
        <v>1000</v>
      </c>
      <c r="K27" s="16">
        <f>Input!K24</f>
        <v>2.2499999999999999E-2</v>
      </c>
      <c r="L27" s="19">
        <f>(1+$F$13)*Input!L24</f>
        <v>1.7380000000000002E-3</v>
      </c>
      <c r="M27" s="17">
        <f>(1+$F$14)*Input!M24</f>
        <v>5.6999999999999995E-2</v>
      </c>
      <c r="N27" s="15">
        <f>Input!N24</f>
        <v>650</v>
      </c>
    </row>
    <row r="28" spans="1:14" x14ac:dyDescent="0.25">
      <c r="A28" s="28">
        <v>8</v>
      </c>
      <c r="B28" s="15">
        <f>Input!B25</f>
        <v>90</v>
      </c>
      <c r="C28" s="16">
        <f>Input!C25</f>
        <v>4.2500000000000003E-2</v>
      </c>
      <c r="D28" s="26">
        <f t="shared" si="0"/>
        <v>3.7500000000000006E-2</v>
      </c>
      <c r="E28" s="17">
        <f>Input!E25</f>
        <v>0.05</v>
      </c>
      <c r="F28" s="31">
        <v>0</v>
      </c>
      <c r="G28" s="18">
        <f>Input!G25</f>
        <v>0.04</v>
      </c>
      <c r="H28" s="18">
        <f>Input!H25</f>
        <v>0.02</v>
      </c>
      <c r="I28" s="15">
        <f>Input!I25</f>
        <v>40.203998367724807</v>
      </c>
      <c r="J28" s="15">
        <f>Input!J25</f>
        <v>1000</v>
      </c>
      <c r="K28" s="16">
        <f>Input!K25</f>
        <v>2.2499999999999999E-2</v>
      </c>
      <c r="L28" s="19">
        <f>(1+$F$13)*Input!L25</f>
        <v>1.9580000000000001E-3</v>
      </c>
      <c r="M28" s="17">
        <f>(1+$F$14)*Input!M25</f>
        <v>4.7500000000000001E-2</v>
      </c>
      <c r="N28" s="15">
        <f>Input!N25</f>
        <v>760</v>
      </c>
    </row>
    <row r="29" spans="1:14" x14ac:dyDescent="0.25">
      <c r="A29" s="28">
        <v>9</v>
      </c>
      <c r="B29" s="15">
        <f>Input!B26</f>
        <v>90</v>
      </c>
      <c r="C29" s="16">
        <f>Input!C26</f>
        <v>4.2500000000000003E-2</v>
      </c>
      <c r="D29" s="26">
        <f t="shared" si="0"/>
        <v>3.7500000000000006E-2</v>
      </c>
      <c r="E29" s="17">
        <f>Input!E26</f>
        <v>0.05</v>
      </c>
      <c r="F29" s="31">
        <v>0</v>
      </c>
      <c r="G29" s="18">
        <f>Input!G26</f>
        <v>0.04</v>
      </c>
      <c r="H29" s="18">
        <f>Input!H26</f>
        <v>0.02</v>
      </c>
      <c r="I29" s="15">
        <f>Input!I26</f>
        <v>41.008078335079304</v>
      </c>
      <c r="J29" s="15">
        <f>Input!J26</f>
        <v>1000</v>
      </c>
      <c r="K29" s="16">
        <f>Input!K26</f>
        <v>2.2499999999999999E-2</v>
      </c>
      <c r="L29" s="19">
        <f>(1+$F$13)*Input!L26</f>
        <v>2.2110000000000003E-3</v>
      </c>
      <c r="M29" s="17">
        <f>(1+$F$14)*Input!M26</f>
        <v>3.7999999999999999E-2</v>
      </c>
      <c r="N29" s="15">
        <f>Input!N26</f>
        <v>870</v>
      </c>
    </row>
    <row r="30" spans="1:14" x14ac:dyDescent="0.25">
      <c r="A30" s="28">
        <v>10</v>
      </c>
      <c r="B30" s="15">
        <f>Input!B27</f>
        <v>90</v>
      </c>
      <c r="C30" s="16">
        <f>Input!C27</f>
        <v>4.2500000000000003E-2</v>
      </c>
      <c r="D30" s="26">
        <f t="shared" si="0"/>
        <v>3.7500000000000006E-2</v>
      </c>
      <c r="E30" s="17">
        <f>Input!E27</f>
        <v>0.05</v>
      </c>
      <c r="F30" s="31">
        <v>0</v>
      </c>
      <c r="G30" s="18">
        <f>Input!G27</f>
        <v>0.04</v>
      </c>
      <c r="H30" s="18">
        <f>Input!H27</f>
        <v>0.02</v>
      </c>
      <c r="I30" s="15">
        <f>Input!I27</f>
        <v>41.82823990178089</v>
      </c>
      <c r="J30" s="15">
        <f>Input!J27</f>
        <v>1000</v>
      </c>
      <c r="K30" s="16">
        <f>Input!K27</f>
        <v>2.2499999999999999E-2</v>
      </c>
      <c r="L30" s="19">
        <f>(1+$F$13)*Input!L27</f>
        <v>2.464E-3</v>
      </c>
      <c r="M30" s="17">
        <v>1</v>
      </c>
      <c r="N30" s="15">
        <f>Input!N27</f>
        <v>1000</v>
      </c>
    </row>
    <row r="31" spans="1:14" x14ac:dyDescent="0.25">
      <c r="A31" s="28"/>
      <c r="B31" s="26"/>
      <c r="C31" s="31"/>
      <c r="D31" s="31"/>
      <c r="E31" s="31"/>
      <c r="F31" s="27"/>
      <c r="G31" s="27"/>
      <c r="H31" s="27"/>
      <c r="I31" s="27"/>
      <c r="J31" s="27"/>
      <c r="K31" s="32"/>
      <c r="L31" s="33"/>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308"/>
  <sheetViews>
    <sheetView topLeftCell="A100" zoomScaleNormal="100" workbookViewId="0">
      <selection activeCell="D4" sqref="D4"/>
    </sheetView>
  </sheetViews>
  <sheetFormatPr defaultColWidth="8.7109375" defaultRowHeight="15" x14ac:dyDescent="0.25"/>
  <cols>
    <col min="1" max="1" width="26" style="20" customWidth="1"/>
    <col min="2" max="2" width="14.85546875" style="20" bestFit="1" customWidth="1"/>
    <col min="3" max="3" width="15.140625" style="20" bestFit="1" customWidth="1"/>
    <col min="4" max="5" width="14.85546875" style="20" bestFit="1" customWidth="1"/>
    <col min="6" max="6" width="13.42578125" style="20" bestFit="1" customWidth="1"/>
    <col min="7" max="7" width="11.85546875" style="20" bestFit="1" customWidth="1"/>
    <col min="8" max="8" width="12.5703125" style="20" bestFit="1" customWidth="1"/>
    <col min="9" max="10" width="12.5703125" style="20" customWidth="1"/>
    <col min="11" max="11" width="12.5703125" style="20" bestFit="1" customWidth="1"/>
    <col min="12" max="12" width="14.140625" style="20" bestFit="1" customWidth="1"/>
    <col min="13" max="14" width="12.5703125" style="20" bestFit="1" customWidth="1"/>
    <col min="15" max="15" width="14.140625" style="20" bestFit="1" customWidth="1"/>
    <col min="16" max="16" width="10.85546875" style="20" bestFit="1" customWidth="1"/>
    <col min="17" max="16384" width="8.7109375" style="20"/>
  </cols>
  <sheetData>
    <row r="1" spans="1:16" x14ac:dyDescent="0.25">
      <c r="A1" s="21" t="s">
        <v>139</v>
      </c>
    </row>
    <row r="2" spans="1:16" x14ac:dyDescent="0.25">
      <c r="A2" s="6" t="s">
        <v>140</v>
      </c>
    </row>
    <row r="3" spans="1:16" x14ac:dyDescent="0.25">
      <c r="A3" s="23" t="s">
        <v>141</v>
      </c>
    </row>
    <row r="4" spans="1:16" x14ac:dyDescent="0.25">
      <c r="A4" s="24" t="s">
        <v>152</v>
      </c>
    </row>
    <row r="6" spans="1:16" x14ac:dyDescent="0.25">
      <c r="A6" s="1" t="s">
        <v>153</v>
      </c>
      <c r="B6" s="1"/>
      <c r="C6" s="1"/>
      <c r="D6" s="1"/>
    </row>
    <row r="7" spans="1:16" x14ac:dyDescent="0.25">
      <c r="A7" s="1" t="s">
        <v>21</v>
      </c>
      <c r="B7" s="1"/>
      <c r="C7" s="1"/>
      <c r="D7" s="1"/>
    </row>
    <row r="8" spans="1:16" x14ac:dyDescent="0.25">
      <c r="A8" s="1"/>
      <c r="B8" s="1"/>
      <c r="C8" s="1"/>
      <c r="D8" s="1"/>
    </row>
    <row r="9" spans="1:16" x14ac:dyDescent="0.25">
      <c r="A9" s="1" t="s">
        <v>61</v>
      </c>
      <c r="B9" s="1"/>
      <c r="C9" s="1"/>
      <c r="D9" s="1"/>
    </row>
    <row r="11" spans="1:16" x14ac:dyDescent="0.25">
      <c r="A11" s="3" t="s">
        <v>25</v>
      </c>
      <c r="B11" s="3"/>
      <c r="C11" s="3"/>
      <c r="D11" s="3"/>
    </row>
    <row r="12" spans="1:16" x14ac:dyDescent="0.25">
      <c r="B12" s="3" t="s">
        <v>133</v>
      </c>
      <c r="F12" s="3" t="s">
        <v>133</v>
      </c>
      <c r="J12" s="20" t="s">
        <v>112</v>
      </c>
      <c r="N12" s="20" t="s">
        <v>112</v>
      </c>
    </row>
    <row r="13" spans="1:16" x14ac:dyDescent="0.25">
      <c r="A13" s="28" t="s">
        <v>0</v>
      </c>
      <c r="B13" s="28" t="s">
        <v>50</v>
      </c>
      <c r="C13" s="28" t="s">
        <v>50</v>
      </c>
      <c r="D13" s="28" t="s">
        <v>22</v>
      </c>
      <c r="F13" s="28" t="s">
        <v>51</v>
      </c>
      <c r="G13" s="28" t="s">
        <v>51</v>
      </c>
      <c r="H13" s="28" t="s">
        <v>42</v>
      </c>
      <c r="I13" s="28"/>
      <c r="J13" s="28" t="s">
        <v>50</v>
      </c>
      <c r="K13" s="28" t="s">
        <v>50</v>
      </c>
      <c r="L13" s="28" t="s">
        <v>22</v>
      </c>
      <c r="N13" s="28" t="s">
        <v>51</v>
      </c>
      <c r="O13" s="28" t="s">
        <v>51</v>
      </c>
      <c r="P13" s="28" t="s">
        <v>42</v>
      </c>
    </row>
    <row r="14" spans="1:16" x14ac:dyDescent="0.25">
      <c r="A14" s="2" t="s">
        <v>1</v>
      </c>
      <c r="B14" s="2" t="s">
        <v>23</v>
      </c>
      <c r="C14" s="2" t="s">
        <v>24</v>
      </c>
      <c r="D14" s="2" t="s">
        <v>26</v>
      </c>
      <c r="F14" s="2" t="s">
        <v>23</v>
      </c>
      <c r="G14" s="2" t="s">
        <v>24</v>
      </c>
      <c r="H14" s="2" t="s">
        <v>26</v>
      </c>
      <c r="I14" s="2"/>
      <c r="J14" s="2" t="s">
        <v>23</v>
      </c>
      <c r="K14" s="2" t="s">
        <v>24</v>
      </c>
      <c r="L14" s="2" t="s">
        <v>26</v>
      </c>
      <c r="N14" s="2" t="s">
        <v>23</v>
      </c>
      <c r="O14" s="2" t="s">
        <v>24</v>
      </c>
      <c r="P14" s="2" t="s">
        <v>26</v>
      </c>
    </row>
    <row r="15" spans="1:16" x14ac:dyDescent="0.25">
      <c r="D15" s="35">
        <f>'Input - Assumptions pre-LDTI '!B13</f>
        <v>1000</v>
      </c>
      <c r="H15" s="36">
        <f>D15*'Input - Assumptions pre-LDTI '!B$14</f>
        <v>100000</v>
      </c>
      <c r="I15" s="36"/>
      <c r="L15" s="30">
        <f>'Actuarial balances'!D14</f>
        <v>1000</v>
      </c>
      <c r="N15" s="42"/>
      <c r="O15" s="42"/>
      <c r="P15" s="27">
        <f>'Actuarial balances'!H14</f>
        <v>100000</v>
      </c>
    </row>
    <row r="16" spans="1:16" x14ac:dyDescent="0.25">
      <c r="A16" s="20">
        <v>1</v>
      </c>
      <c r="B16" s="30">
        <f>'Input - Assumptions pre-LDTI '!L21*'Actuarial balances pre-LDTI'!D15</f>
        <v>0.69300000000000006</v>
      </c>
      <c r="C16" s="35">
        <f>'Input - Assumptions pre-LDTI '!M21*('Actuarial balances pre-LDTI'!D15-'Actuarial balances pre-LDTI'!B16)</f>
        <v>142.40124749999998</v>
      </c>
      <c r="D16" s="35">
        <f t="shared" ref="D16:D25" si="0">D15-B16-C16</f>
        <v>856.90575250000006</v>
      </c>
      <c r="F16" s="36">
        <f t="shared" ref="F16:F25" si="1">H$15/D$15*B16</f>
        <v>69.300000000000011</v>
      </c>
      <c r="G16" s="36">
        <f t="shared" ref="G16:G25" si="2">H$15/D$15*C16</f>
        <v>14240.124749999999</v>
      </c>
      <c r="H16" s="36">
        <f t="shared" ref="H16:H25" si="3">H15-F16-G16</f>
        <v>85690.575249999994</v>
      </c>
      <c r="I16" s="36"/>
      <c r="J16" s="30">
        <f>'Actuarial balances'!B15</f>
        <v>0.63</v>
      </c>
      <c r="K16" s="30">
        <f>'Actuarial balances'!C15</f>
        <v>149.90549999999999</v>
      </c>
      <c r="L16" s="30">
        <f>'Actuarial balances'!D15</f>
        <v>849.46450000000004</v>
      </c>
      <c r="N16" s="27">
        <f>'Actuarial balances'!F15</f>
        <v>63</v>
      </c>
      <c r="O16" s="27">
        <f>'Actuarial balances'!G15</f>
        <v>14990.55</v>
      </c>
      <c r="P16" s="27">
        <f>'Actuarial balances'!H15</f>
        <v>84946.45</v>
      </c>
    </row>
    <row r="17" spans="1:23" x14ac:dyDescent="0.25">
      <c r="A17" s="20">
        <v>2</v>
      </c>
      <c r="B17" s="30">
        <f>'Input - Assumptions pre-LDTI '!L22*'Actuarial balances pre-LDTI'!D16</f>
        <v>0.72579917236750002</v>
      </c>
      <c r="C17" s="35">
        <f>'Input - Assumptions pre-LDTI '!M22*('Actuarial balances pre-LDTI'!D16-'Actuarial balances pre-LDTI'!B17)</f>
        <v>97.604514679350103</v>
      </c>
      <c r="D17" s="35">
        <f t="shared" si="0"/>
        <v>758.57543864828244</v>
      </c>
      <c r="F17" s="36">
        <f t="shared" si="1"/>
        <v>72.579917236750006</v>
      </c>
      <c r="G17" s="36">
        <f t="shared" si="2"/>
        <v>9760.4514679350104</v>
      </c>
      <c r="H17" s="36">
        <f t="shared" si="3"/>
        <v>75857.543864828229</v>
      </c>
      <c r="I17" s="36"/>
      <c r="J17" s="30">
        <f>'Actuarial balances'!B16</f>
        <v>0.65408766500000004</v>
      </c>
      <c r="K17" s="30">
        <f>'Actuarial balances'!C16</f>
        <v>101.8572494802</v>
      </c>
      <c r="L17" s="30">
        <f>'Actuarial balances'!D16</f>
        <v>746.95316285479998</v>
      </c>
      <c r="N17" s="27">
        <f>'Actuarial balances'!F16</f>
        <v>65.408766499999999</v>
      </c>
      <c r="O17" s="27">
        <f>'Actuarial balances'!G16</f>
        <v>10185.724948019999</v>
      </c>
      <c r="P17" s="27">
        <f>'Actuarial balances'!H16</f>
        <v>74695.316285480003</v>
      </c>
    </row>
    <row r="18" spans="1:23" x14ac:dyDescent="0.25">
      <c r="A18" s="20">
        <v>3</v>
      </c>
      <c r="B18" s="30">
        <f>'Input - Assumptions pre-LDTI '!L23*'Actuarial balances pre-LDTI'!D17</f>
        <v>0.82608865268797971</v>
      </c>
      <c r="C18" s="35">
        <f>'Input - Assumptions pre-LDTI '!M23*('Actuarial balances pre-LDTI'!D17-'Actuarial balances pre-LDTI'!B18)</f>
        <v>71.986188249581474</v>
      </c>
      <c r="D18" s="35">
        <f t="shared" si="0"/>
        <v>685.763161746013</v>
      </c>
      <c r="F18" s="36">
        <f t="shared" si="1"/>
        <v>82.60886526879797</v>
      </c>
      <c r="G18" s="36">
        <f t="shared" si="2"/>
        <v>7198.6188249581473</v>
      </c>
      <c r="H18" s="36">
        <f t="shared" si="3"/>
        <v>68576.316174601277</v>
      </c>
      <c r="I18" s="36"/>
      <c r="J18" s="30">
        <f>'Actuarial balances'!B17</f>
        <v>0.73948363122625194</v>
      </c>
      <c r="K18" s="30">
        <f>'Actuarial balances'!C17</f>
        <v>74.621367922357379</v>
      </c>
      <c r="L18" s="30">
        <f>'Actuarial balances'!D17</f>
        <v>671.59231130121634</v>
      </c>
      <c r="N18" s="27">
        <f>'Actuarial balances'!F17</f>
        <v>73.948363122625196</v>
      </c>
      <c r="O18" s="27">
        <f>'Actuarial balances'!G17</f>
        <v>7462.1367922357376</v>
      </c>
      <c r="P18" s="27">
        <f>'Actuarial balances'!H17</f>
        <v>67159.23113012164</v>
      </c>
    </row>
    <row r="19" spans="1:23" x14ac:dyDescent="0.25">
      <c r="A19" s="20">
        <v>4</v>
      </c>
      <c r="B19" s="30">
        <f>'Input - Assumptions pre-LDTI '!L24*'Actuarial balances pre-LDTI'!D18</f>
        <v>0.85994700482950037</v>
      </c>
      <c r="C19" s="35">
        <f>'Input - Assumptions pre-LDTI '!M24*('Actuarial balances pre-LDTI'!D18-'Actuarial balances pre-LDTI'!B19)</f>
        <v>58.559224860371188</v>
      </c>
      <c r="D19" s="35">
        <f t="shared" si="0"/>
        <v>626.34398988081239</v>
      </c>
      <c r="F19" s="36">
        <f t="shared" si="1"/>
        <v>85.994700482950037</v>
      </c>
      <c r="G19" s="36">
        <f t="shared" si="2"/>
        <v>5855.9224860371187</v>
      </c>
      <c r="H19" s="36">
        <f t="shared" si="3"/>
        <v>62634.398988081215</v>
      </c>
      <c r="I19" s="36"/>
      <c r="J19" s="30">
        <f>'Actuarial balances'!B18</f>
        <v>0.76561523488338656</v>
      </c>
      <c r="K19" s="30">
        <f>'Actuarial balances'!C18</f>
        <v>60.374402645969965</v>
      </c>
      <c r="L19" s="30">
        <f>'Actuarial balances'!D18</f>
        <v>610.45229342036293</v>
      </c>
      <c r="N19" s="27">
        <f>'Actuarial balances'!F18</f>
        <v>76.561523488338651</v>
      </c>
      <c r="O19" s="27">
        <f>'Actuarial balances'!G18</f>
        <v>6037.4402645969967</v>
      </c>
      <c r="P19" s="27">
        <f>'Actuarial balances'!H18</f>
        <v>61045.229342036298</v>
      </c>
    </row>
    <row r="20" spans="1:23" x14ac:dyDescent="0.25">
      <c r="A20" s="20">
        <v>5</v>
      </c>
      <c r="B20" s="30">
        <f>'Input - Assumptions pre-LDTI '!L25*'Actuarial balances pre-LDTI'!D19</f>
        <v>0.88189233775218401</v>
      </c>
      <c r="C20" s="35">
        <f>'Input - Assumptions pre-LDTI '!M25*('Actuarial balances pre-LDTI'!D19-'Actuarial balances pre-LDTI'!B20)</f>
        <v>47.535119413272568</v>
      </c>
      <c r="D20" s="35">
        <f t="shared" si="0"/>
        <v>577.92697812978759</v>
      </c>
      <c r="F20" s="36">
        <f t="shared" si="1"/>
        <v>88.189233775218398</v>
      </c>
      <c r="G20" s="36">
        <f t="shared" si="2"/>
        <v>4753.5119413272569</v>
      </c>
      <c r="H20" s="36">
        <f t="shared" si="3"/>
        <v>57792.697812978739</v>
      </c>
      <c r="I20" s="36"/>
      <c r="J20" s="30">
        <f>'Actuarial balances'!B19</f>
        <v>0.78137893557806459</v>
      </c>
      <c r="K20" s="30">
        <f>'Actuarial balances'!C19</f>
        <v>48.773673158782785</v>
      </c>
      <c r="L20" s="30">
        <f>'Actuarial balances'!D19</f>
        <v>560.89724132600202</v>
      </c>
      <c r="N20" s="27">
        <f>'Actuarial balances'!F19</f>
        <v>78.137893557806464</v>
      </c>
      <c r="O20" s="27">
        <f>'Actuarial balances'!G19</f>
        <v>4877.3673158782785</v>
      </c>
      <c r="P20" s="27">
        <f>'Actuarial balances'!H19</f>
        <v>56089.724132600219</v>
      </c>
    </row>
    <row r="21" spans="1:23" x14ac:dyDescent="0.25">
      <c r="A21" s="20">
        <v>6</v>
      </c>
      <c r="B21" s="30">
        <f>'Input - Assumptions pre-LDTI '!L26*'Actuarial balances pre-LDTI'!D20</f>
        <v>0.890007546319873</v>
      </c>
      <c r="C21" s="35">
        <f>'Input - Assumptions pre-LDTI '!M26*('Actuarial balances pre-LDTI'!D20-'Actuarial balances pre-LDTI'!B21)</f>
        <v>38.3729585438006</v>
      </c>
      <c r="D21" s="35">
        <f t="shared" si="0"/>
        <v>538.66401203966711</v>
      </c>
      <c r="F21" s="36">
        <f t="shared" si="1"/>
        <v>89.000754631987306</v>
      </c>
      <c r="G21" s="36">
        <f t="shared" si="2"/>
        <v>3837.2958543800601</v>
      </c>
      <c r="H21" s="36">
        <f t="shared" si="3"/>
        <v>53866.401203966685</v>
      </c>
      <c r="I21" s="36"/>
      <c r="J21" s="30">
        <f>'Actuarial balances'!B20</f>
        <v>0.7852561378564028</v>
      </c>
      <c r="K21" s="30">
        <f>'Actuarial balances'!C20</f>
        <v>39.207838963170197</v>
      </c>
      <c r="L21" s="30">
        <f>'Actuarial balances'!D20</f>
        <v>520.90414622497542</v>
      </c>
      <c r="N21" s="27">
        <f>'Actuarial balances'!F20</f>
        <v>78.525613785640275</v>
      </c>
      <c r="O21" s="27">
        <f>'Actuarial balances'!G20</f>
        <v>3920.7838963170198</v>
      </c>
      <c r="P21" s="27">
        <f>'Actuarial balances'!H20</f>
        <v>52090.414622497556</v>
      </c>
    </row>
    <row r="22" spans="1:23" x14ac:dyDescent="0.25">
      <c r="A22" s="20">
        <v>7</v>
      </c>
      <c r="B22" s="30">
        <f>'Input - Assumptions pre-LDTI '!L27*'Actuarial balances pre-LDTI'!D21</f>
        <v>0.93619805292494152</v>
      </c>
      <c r="C22" s="35">
        <f>'Input - Assumptions pre-LDTI '!M27*('Actuarial balances pre-LDTI'!D21-'Actuarial balances pre-LDTI'!B22)</f>
        <v>30.650485397244299</v>
      </c>
      <c r="D22" s="35">
        <f t="shared" si="0"/>
        <v>507.07732858949782</v>
      </c>
      <c r="F22" s="36">
        <f t="shared" si="1"/>
        <v>93.619805292494149</v>
      </c>
      <c r="G22" s="36">
        <f t="shared" si="2"/>
        <v>3065.0485397244302</v>
      </c>
      <c r="H22" s="36">
        <f t="shared" si="3"/>
        <v>50707.732858949763</v>
      </c>
      <c r="I22" s="36"/>
      <c r="J22" s="30">
        <f>'Actuarial balances'!B21</f>
        <v>0.82302855103546113</v>
      </c>
      <c r="K22" s="30">
        <f>'Actuarial balances'!C21</f>
        <v>31.204867060436396</v>
      </c>
      <c r="L22" s="30">
        <f>'Actuarial balances'!D21</f>
        <v>488.87625061350354</v>
      </c>
      <c r="N22" s="27">
        <f>'Actuarial balances'!F21</f>
        <v>82.302855103546108</v>
      </c>
      <c r="O22" s="27">
        <f>'Actuarial balances'!G21</f>
        <v>3120.4867060436395</v>
      </c>
      <c r="P22" s="27">
        <f>'Actuarial balances'!H21</f>
        <v>48887.625061350373</v>
      </c>
    </row>
    <row r="23" spans="1:23" x14ac:dyDescent="0.25">
      <c r="A23" s="20">
        <v>8</v>
      </c>
      <c r="B23" s="30">
        <f>'Input - Assumptions pre-LDTI '!L28*'Actuarial balances pre-LDTI'!D22</f>
        <v>0.99285740937823674</v>
      </c>
      <c r="C23" s="35">
        <f>'Input - Assumptions pre-LDTI '!M28*('Actuarial balances pre-LDTI'!D22-'Actuarial balances pre-LDTI'!B23)</f>
        <v>24.039012381055681</v>
      </c>
      <c r="D23" s="35">
        <f t="shared" si="0"/>
        <v>482.04545879906391</v>
      </c>
      <c r="F23" s="36">
        <f t="shared" si="1"/>
        <v>99.285740937823675</v>
      </c>
      <c r="G23" s="36">
        <f t="shared" si="2"/>
        <v>2403.9012381055682</v>
      </c>
      <c r="H23" s="36">
        <f t="shared" si="3"/>
        <v>48204.545879906371</v>
      </c>
      <c r="I23" s="36"/>
      <c r="J23" s="30">
        <f>'Actuarial balances'!B22</f>
        <v>0.87019972609203622</v>
      </c>
      <c r="K23" s="30">
        <f>'Actuarial balances'!C22</f>
        <v>24.400302544370575</v>
      </c>
      <c r="L23" s="30">
        <f>'Actuarial balances'!D22</f>
        <v>463.60574834304094</v>
      </c>
      <c r="N23" s="27">
        <f>'Actuarial balances'!F22</f>
        <v>87.01997260920362</v>
      </c>
      <c r="O23" s="27">
        <f>'Actuarial balances'!G22</f>
        <v>2440.0302544370575</v>
      </c>
      <c r="P23" s="27">
        <f>'Actuarial balances'!H22</f>
        <v>46360.574834304112</v>
      </c>
    </row>
    <row r="24" spans="1:23" x14ac:dyDescent="0.25">
      <c r="A24" s="20">
        <v>9</v>
      </c>
      <c r="B24" s="30">
        <f>'Input - Assumptions pre-LDTI '!L29*'Actuarial balances pre-LDTI'!D23</f>
        <v>1.0658025094047305</v>
      </c>
      <c r="C24" s="35">
        <f>'Input - Assumptions pre-LDTI '!M29*('Actuarial balances pre-LDTI'!D23-'Actuarial balances pre-LDTI'!B24)</f>
        <v>18.277226939007051</v>
      </c>
      <c r="D24" s="35">
        <f t="shared" si="0"/>
        <v>462.70242935065215</v>
      </c>
      <c r="F24" s="36">
        <f t="shared" si="1"/>
        <v>106.58025094047305</v>
      </c>
      <c r="G24" s="36">
        <f t="shared" si="2"/>
        <v>1827.7226939007051</v>
      </c>
      <c r="H24" s="36">
        <f t="shared" si="3"/>
        <v>46270.242935065195</v>
      </c>
      <c r="I24" s="36"/>
      <c r="J24" s="30">
        <f>'Actuarial balances'!B23</f>
        <v>0.93184755416951237</v>
      </c>
      <c r="K24" s="30">
        <f>'Actuarial balances'!C23</f>
        <v>18.506956031554857</v>
      </c>
      <c r="L24" s="30">
        <f>'Actuarial balances'!D23</f>
        <v>444.16694475731657</v>
      </c>
      <c r="N24" s="27">
        <f>'Actuarial balances'!F23</f>
        <v>93.184755416951234</v>
      </c>
      <c r="O24" s="27">
        <f>'Actuarial balances'!G23</f>
        <v>1850.6956031554857</v>
      </c>
      <c r="P24" s="27">
        <f>'Actuarial balances'!H23</f>
        <v>44416.694475731674</v>
      </c>
    </row>
    <row r="25" spans="1:23" x14ac:dyDescent="0.25">
      <c r="A25" s="20">
        <v>10</v>
      </c>
      <c r="B25" s="30">
        <f>'Input - Assumptions pre-LDTI '!L30*'Actuarial balances pre-LDTI'!D24</f>
        <v>1.1400987859200069</v>
      </c>
      <c r="C25" s="35">
        <f>'Input - Assumptions pre-LDTI '!M30*('Actuarial balances pre-LDTI'!D24-'Actuarial balances pre-LDTI'!B25)</f>
        <v>461.56233056473212</v>
      </c>
      <c r="D25" s="35">
        <f t="shared" si="0"/>
        <v>0</v>
      </c>
      <c r="F25" s="36">
        <f t="shared" si="1"/>
        <v>114.00987859200069</v>
      </c>
      <c r="G25" s="36">
        <f t="shared" si="2"/>
        <v>46156.233056473211</v>
      </c>
      <c r="H25" s="36">
        <f t="shared" si="3"/>
        <v>0</v>
      </c>
      <c r="I25" s="36"/>
      <c r="J25" s="30">
        <f>'Actuarial balances'!B24</f>
        <v>0.99493395625638903</v>
      </c>
      <c r="K25" s="30">
        <f>'Actuarial balances'!C24</f>
        <v>443.1720108010602</v>
      </c>
      <c r="L25" s="30">
        <f>'Actuarial balances'!D24</f>
        <v>0</v>
      </c>
      <c r="N25" s="27">
        <f>'Actuarial balances'!F24</f>
        <v>99.493395625638897</v>
      </c>
      <c r="O25" s="27">
        <f>'Actuarial balances'!G24</f>
        <v>44317.201080106017</v>
      </c>
      <c r="P25" s="27">
        <f>'Actuarial balances'!H24</f>
        <v>0</v>
      </c>
    </row>
    <row r="26" spans="1:23" x14ac:dyDescent="0.25">
      <c r="B26" s="35"/>
      <c r="C26" s="35"/>
      <c r="D26" s="35"/>
      <c r="E26" s="35"/>
      <c r="F26" s="35"/>
      <c r="G26" s="35"/>
      <c r="H26" s="35"/>
      <c r="I26" s="35"/>
      <c r="J26" s="35"/>
    </row>
    <row r="27" spans="1:23" x14ac:dyDescent="0.25">
      <c r="A27" s="3" t="s">
        <v>43</v>
      </c>
    </row>
    <row r="29" spans="1:23" x14ac:dyDescent="0.25">
      <c r="B29" s="38"/>
    </row>
    <row r="30" spans="1:23" x14ac:dyDescent="0.25">
      <c r="C30" s="28" t="s">
        <v>47</v>
      </c>
      <c r="D30" s="28" t="s">
        <v>48</v>
      </c>
      <c r="G30" s="28"/>
      <c r="H30" s="28" t="s">
        <v>49</v>
      </c>
      <c r="I30" s="28"/>
      <c r="J30" s="28" t="s">
        <v>77</v>
      </c>
      <c r="O30" s="53"/>
      <c r="P30" s="53"/>
      <c r="Q30" s="53"/>
    </row>
    <row r="31" spans="1:23" x14ac:dyDescent="0.25">
      <c r="A31" s="28" t="s">
        <v>0</v>
      </c>
      <c r="B31" s="28" t="s">
        <v>39</v>
      </c>
      <c r="C31" s="28" t="s">
        <v>38</v>
      </c>
      <c r="D31" s="28" t="s">
        <v>38</v>
      </c>
      <c r="F31" s="28"/>
      <c r="G31" s="28" t="s">
        <v>7</v>
      </c>
      <c r="H31" s="28" t="s">
        <v>7</v>
      </c>
      <c r="I31" s="28" t="s">
        <v>76</v>
      </c>
      <c r="J31" s="28" t="s">
        <v>76</v>
      </c>
      <c r="K31" s="28" t="s">
        <v>31</v>
      </c>
      <c r="L31" s="28" t="s">
        <v>8</v>
      </c>
      <c r="M31" s="28" t="s">
        <v>10</v>
      </c>
      <c r="N31" s="28" t="s">
        <v>53</v>
      </c>
    </row>
    <row r="32" spans="1:23" x14ac:dyDescent="0.25">
      <c r="A32" s="2" t="s">
        <v>1</v>
      </c>
      <c r="B32" s="2" t="s">
        <v>46</v>
      </c>
      <c r="C32" s="2" t="s">
        <v>44</v>
      </c>
      <c r="D32" s="2" t="s">
        <v>44</v>
      </c>
      <c r="E32" s="2" t="s">
        <v>4</v>
      </c>
      <c r="F32" s="2" t="s">
        <v>45</v>
      </c>
      <c r="G32" s="2" t="s">
        <v>5</v>
      </c>
      <c r="H32" s="2" t="s">
        <v>5</v>
      </c>
      <c r="I32" s="2" t="s">
        <v>5</v>
      </c>
      <c r="J32" s="2" t="s">
        <v>5</v>
      </c>
      <c r="K32" s="2" t="s">
        <v>32</v>
      </c>
      <c r="L32" s="2" t="s">
        <v>32</v>
      </c>
      <c r="M32" s="2" t="s">
        <v>32</v>
      </c>
      <c r="N32" s="2" t="s">
        <v>32</v>
      </c>
      <c r="U32" s="3"/>
      <c r="W32" s="3"/>
    </row>
    <row r="33" spans="1:23" x14ac:dyDescent="0.25">
      <c r="A33" s="28"/>
    </row>
    <row r="34" spans="1:23" x14ac:dyDescent="0.25">
      <c r="A34" s="28">
        <v>1</v>
      </c>
      <c r="B34" s="39">
        <f>'Input - Assumptions pre-LDTI '!D21</f>
        <v>3.7500000000000006E-2</v>
      </c>
      <c r="C34" s="40">
        <v>1</v>
      </c>
      <c r="D34" s="41">
        <f>C35</f>
        <v>0.96385542168674687</v>
      </c>
      <c r="E34" s="27">
        <f>H15*'Input - Assumptions pre-LDTI '!B21</f>
        <v>9000000</v>
      </c>
      <c r="F34" s="27">
        <f>E34*C34</f>
        <v>9000000</v>
      </c>
      <c r="G34" s="27">
        <f>D15*'Input - Assumptions pre-LDTI '!I21</f>
        <v>35000</v>
      </c>
      <c r="H34" s="27">
        <f>C34*G34</f>
        <v>35000</v>
      </c>
      <c r="I34" s="27">
        <f>B16*'Input - Assumptions pre-LDTI '!J21</f>
        <v>693.00000000000011</v>
      </c>
      <c r="J34" s="27">
        <f>I34*D34</f>
        <v>667.95180722891564</v>
      </c>
      <c r="K34" s="27">
        <f>F16*1000</f>
        <v>69300.000000000015</v>
      </c>
      <c r="L34" s="27">
        <f>G16*'Input - Assumptions pre-LDTI '!N21</f>
        <v>0</v>
      </c>
      <c r="M34" s="27">
        <f t="shared" ref="M34:M43" si="4">K34+L34</f>
        <v>69300.000000000015</v>
      </c>
      <c r="N34" s="27">
        <f>D34*M34</f>
        <v>66795.180722891571</v>
      </c>
      <c r="U34" s="27"/>
      <c r="W34" s="42"/>
    </row>
    <row r="35" spans="1:23" x14ac:dyDescent="0.25">
      <c r="A35" s="28">
        <v>2</v>
      </c>
      <c r="B35" s="39">
        <f>'Input - Assumptions pre-LDTI '!D22</f>
        <v>3.7500000000000006E-2</v>
      </c>
      <c r="C35" s="40">
        <f t="shared" ref="C35:C43" si="5">C34/(1+B34)</f>
        <v>0.96385542168674687</v>
      </c>
      <c r="D35" s="47">
        <f>D34/(1+B35)</f>
        <v>0.92901727391493671</v>
      </c>
      <c r="E35" s="27">
        <f>H16*'Input - Assumptions pre-LDTI '!B22</f>
        <v>7712151.772499999</v>
      </c>
      <c r="F35" s="27">
        <f t="shared" ref="F35:F43" si="6">E35*C35</f>
        <v>7433399.2987951785</v>
      </c>
      <c r="G35" s="27">
        <f>D16*'Input - Assumptions pre-LDTI '!I22</f>
        <v>30591.535364250005</v>
      </c>
      <c r="H35" s="27">
        <f t="shared" ref="H35:H43" si="7">C35*G35</f>
        <v>29485.817218554217</v>
      </c>
      <c r="I35" s="27">
        <f>B17*'Input - Assumptions pre-LDTI '!J22</f>
        <v>725.79917236749998</v>
      </c>
      <c r="J35" s="27">
        <f t="shared" ref="J35:J43" si="8">I35*D35</f>
        <v>674.27996852257206</v>
      </c>
      <c r="K35" s="27">
        <f t="shared" ref="K35:K43" si="9">F17*1000</f>
        <v>72579.91723675</v>
      </c>
      <c r="L35" s="27">
        <f>G17*'Input - Assumptions pre-LDTI '!N22</f>
        <v>976045.14679350099</v>
      </c>
      <c r="M35" s="27">
        <f t="shared" si="4"/>
        <v>1048625.064030251</v>
      </c>
      <c r="N35" s="27">
        <f t="shared" ref="N35:N43" si="10">D35*M35</f>
        <v>974190.79834425973</v>
      </c>
      <c r="U35" s="27"/>
      <c r="W35" s="42"/>
    </row>
    <row r="36" spans="1:23" x14ac:dyDescent="0.25">
      <c r="A36" s="28">
        <v>3</v>
      </c>
      <c r="B36" s="39">
        <f>'Input - Assumptions pre-LDTI '!D23</f>
        <v>3.7500000000000006E-2</v>
      </c>
      <c r="C36" s="40">
        <f t="shared" si="5"/>
        <v>0.92901727391493671</v>
      </c>
      <c r="D36" s="47">
        <f t="shared" ref="D36:D43" si="11">D35/(1+B36)</f>
        <v>0.89543833630355341</v>
      </c>
      <c r="E36" s="27">
        <f>H17*'Input - Assumptions pre-LDTI '!B23</f>
        <v>6827178.9478345402</v>
      </c>
      <c r="F36" s="27">
        <f t="shared" si="6"/>
        <v>6342567.1746466905</v>
      </c>
      <c r="G36" s="27">
        <f>D17*'Input - Assumptions pre-LDTI '!I23</f>
        <v>27622.766022938558</v>
      </c>
      <c r="H36" s="27">
        <f t="shared" si="7"/>
        <v>25662.026788620518</v>
      </c>
      <c r="I36" s="27">
        <f>B18*'Input - Assumptions pre-LDTI '!J23</f>
        <v>826.08865268797967</v>
      </c>
      <c r="J36" s="27">
        <f t="shared" si="8"/>
        <v>739.71144880216843</v>
      </c>
      <c r="K36" s="27">
        <f t="shared" si="9"/>
        <v>82608.865268797977</v>
      </c>
      <c r="L36" s="27">
        <f>G18*'Input - Assumptions pre-LDTI '!N23</f>
        <v>1511709.9532412109</v>
      </c>
      <c r="M36" s="27">
        <f t="shared" si="4"/>
        <v>1594318.818510009</v>
      </c>
      <c r="N36" s="27">
        <f t="shared" si="10"/>
        <v>1427614.1903840494</v>
      </c>
      <c r="U36" s="27"/>
      <c r="W36" s="42"/>
    </row>
    <row r="37" spans="1:23" x14ac:dyDescent="0.25">
      <c r="A37" s="28">
        <v>4</v>
      </c>
      <c r="B37" s="39">
        <f>'Input - Assumptions pre-LDTI '!D24</f>
        <v>3.7500000000000006E-2</v>
      </c>
      <c r="C37" s="40">
        <f t="shared" si="5"/>
        <v>0.89543833630355341</v>
      </c>
      <c r="D37" s="47">
        <f t="shared" si="11"/>
        <v>0.86307309523234055</v>
      </c>
      <c r="E37" s="27">
        <f>H18*'Input - Assumptions pre-LDTI '!B24</f>
        <v>6171868.4557141149</v>
      </c>
      <c r="F37" s="27">
        <f t="shared" si="6"/>
        <v>5526527.6218690285</v>
      </c>
      <c r="G37" s="27">
        <f>D18*'Input - Assumptions pre-LDTI '!I24</f>
        <v>25470.807367255704</v>
      </c>
      <c r="H37" s="27">
        <f t="shared" si="7"/>
        <v>22807.53737324374</v>
      </c>
      <c r="I37" s="27">
        <f>B19*'Input - Assumptions pre-LDTI '!J24</f>
        <v>859.94700482950043</v>
      </c>
      <c r="J37" s="27">
        <f t="shared" si="8"/>
        <v>742.1971231939774</v>
      </c>
      <c r="K37" s="27">
        <f t="shared" si="9"/>
        <v>85994.700482950037</v>
      </c>
      <c r="L37" s="27">
        <f>G19*'Input - Assumptions pre-LDTI '!N24</f>
        <v>1873895.1955318779</v>
      </c>
      <c r="M37" s="27">
        <f t="shared" si="4"/>
        <v>1959889.896014828</v>
      </c>
      <c r="N37" s="27">
        <f t="shared" si="10"/>
        <v>1691528.2388681076</v>
      </c>
      <c r="U37" s="27"/>
      <c r="W37" s="42"/>
    </row>
    <row r="38" spans="1:23" x14ac:dyDescent="0.25">
      <c r="A38" s="28">
        <v>5</v>
      </c>
      <c r="B38" s="39">
        <f>'Input - Assumptions pre-LDTI '!D25</f>
        <v>3.7500000000000006E-2</v>
      </c>
      <c r="C38" s="40">
        <f t="shared" si="5"/>
        <v>0.86307309523234055</v>
      </c>
      <c r="D38" s="47">
        <f t="shared" si="11"/>
        <v>0.83187768215165347</v>
      </c>
      <c r="E38" s="27">
        <f>H19*'Input - Assumptions pre-LDTI '!B25</f>
        <v>5637095.9089273093</v>
      </c>
      <c r="F38" s="27">
        <f t="shared" si="6"/>
        <v>4865225.8142394572</v>
      </c>
      <c r="G38" s="27">
        <f>D19*'Input - Assumptions pre-LDTI '!I25</f>
        <v>23729.120725439709</v>
      </c>
      <c r="H38" s="27">
        <f t="shared" si="7"/>
        <v>20479.965671647133</v>
      </c>
      <c r="I38" s="27">
        <f>B20*'Input - Assumptions pre-LDTI '!J25</f>
        <v>881.89233775218406</v>
      </c>
      <c r="J38" s="27">
        <f t="shared" si="8"/>
        <v>733.62655383659001</v>
      </c>
      <c r="K38" s="27">
        <f t="shared" si="9"/>
        <v>88189.233775218396</v>
      </c>
      <c r="L38" s="27">
        <f>G20*'Input - Assumptions pre-LDTI '!N25</f>
        <v>2044010.1347707205</v>
      </c>
      <c r="M38" s="27">
        <f t="shared" si="4"/>
        <v>2132199.3685459387</v>
      </c>
      <c r="N38" s="27">
        <f t="shared" si="10"/>
        <v>1773729.0685912147</v>
      </c>
      <c r="U38" s="27"/>
      <c r="W38" s="42"/>
    </row>
    <row r="39" spans="1:23" x14ac:dyDescent="0.25">
      <c r="A39" s="28">
        <v>6</v>
      </c>
      <c r="B39" s="39">
        <f>'Input - Assumptions pre-LDTI '!D26</f>
        <v>3.7500000000000006E-2</v>
      </c>
      <c r="C39" s="40">
        <f t="shared" si="5"/>
        <v>0.83187768215165347</v>
      </c>
      <c r="D39" s="47">
        <f t="shared" si="11"/>
        <v>0.80180981412207553</v>
      </c>
      <c r="E39" s="27">
        <f>H20*'Input - Assumptions pre-LDTI '!B26</f>
        <v>5201342.8031680863</v>
      </c>
      <c r="F39" s="27">
        <f t="shared" si="6"/>
        <v>4326880.9951756513</v>
      </c>
      <c r="G39" s="27">
        <f>D20*'Input - Assumptions pre-LDTI '!I26</f>
        <v>22332.732877156966</v>
      </c>
      <c r="H39" s="27">
        <f t="shared" si="7"/>
        <v>18578.102061961363</v>
      </c>
      <c r="I39" s="27">
        <f>B21*'Input - Assumptions pre-LDTI '!J26</f>
        <v>890.00754631987297</v>
      </c>
      <c r="J39" s="27">
        <f t="shared" si="8"/>
        <v>713.61678528198183</v>
      </c>
      <c r="K39" s="27">
        <f t="shared" si="9"/>
        <v>89000.754631987307</v>
      </c>
      <c r="L39" s="27">
        <f>G21*'Input - Assumptions pre-LDTI '!N26</f>
        <v>2072139.7613652325</v>
      </c>
      <c r="M39" s="27">
        <f t="shared" si="4"/>
        <v>2161140.5159972198</v>
      </c>
      <c r="N39" s="27">
        <f t="shared" si="10"/>
        <v>1732823.6754234172</v>
      </c>
      <c r="U39" s="27"/>
      <c r="W39" s="42"/>
    </row>
    <row r="40" spans="1:23" x14ac:dyDescent="0.25">
      <c r="A40" s="28">
        <v>7</v>
      </c>
      <c r="B40" s="39">
        <f>'Input - Assumptions pre-LDTI '!D27</f>
        <v>3.7500000000000006E-2</v>
      </c>
      <c r="C40" s="40">
        <f t="shared" si="5"/>
        <v>0.80180981412207553</v>
      </c>
      <c r="D40" s="47">
        <f t="shared" si="11"/>
        <v>0.77282873650320527</v>
      </c>
      <c r="E40" s="27">
        <f>H21*'Input - Assumptions pre-LDTI '!B27</f>
        <v>4847976.108357002</v>
      </c>
      <c r="F40" s="27">
        <f t="shared" si="6"/>
        <v>3887154.8223099909</v>
      </c>
      <c r="G40" s="27">
        <f>D21*'Input - Assumptions pre-LDTI '!I27</f>
        <v>21231.810843916541</v>
      </c>
      <c r="H40" s="27">
        <f t="shared" si="7"/>
        <v>17023.87430623579</v>
      </c>
      <c r="I40" s="27">
        <f>B22*'Input - Assumptions pre-LDTI '!J27</f>
        <v>936.19805292494152</v>
      </c>
      <c r="J40" s="27">
        <f t="shared" si="8"/>
        <v>723.52075835874348</v>
      </c>
      <c r="K40" s="27">
        <f t="shared" si="9"/>
        <v>93619.805292494144</v>
      </c>
      <c r="L40" s="27">
        <f>G22*'Input - Assumptions pre-LDTI '!N27</f>
        <v>1992281.5508208796</v>
      </c>
      <c r="M40" s="27">
        <f t="shared" si="4"/>
        <v>2085901.3561133738</v>
      </c>
      <c r="N40" s="27">
        <f t="shared" si="10"/>
        <v>1612044.509515421</v>
      </c>
      <c r="U40" s="27"/>
      <c r="W40" s="42"/>
    </row>
    <row r="41" spans="1:23" x14ac:dyDescent="0.25">
      <c r="A41" s="28">
        <v>8</v>
      </c>
      <c r="B41" s="39">
        <f>'Input - Assumptions pre-LDTI '!D28</f>
        <v>3.7500000000000006E-2</v>
      </c>
      <c r="C41" s="40">
        <f t="shared" si="5"/>
        <v>0.77282873650320527</v>
      </c>
      <c r="D41" s="47">
        <f t="shared" si="11"/>
        <v>0.74489516771393272</v>
      </c>
      <c r="E41" s="27">
        <f>H22*'Input - Assumptions pre-LDTI '!B28</f>
        <v>4563695.9573054789</v>
      </c>
      <c r="F41" s="27">
        <f t="shared" si="6"/>
        <v>3526955.3804691792</v>
      </c>
      <c r="G41" s="27">
        <f>D22*'Input - Assumptions pre-LDTI '!I28</f>
        <v>20386.536090922426</v>
      </c>
      <c r="H41" s="27">
        <f t="shared" si="7"/>
        <v>15755.300928824572</v>
      </c>
      <c r="I41" s="27">
        <f>B23*'Input - Assumptions pre-LDTI '!J28</f>
        <v>992.85740937823675</v>
      </c>
      <c r="J41" s="27">
        <f t="shared" si="8"/>
        <v>739.57468647482244</v>
      </c>
      <c r="K41" s="27">
        <f t="shared" si="9"/>
        <v>99285.740937823677</v>
      </c>
      <c r="L41" s="27">
        <f>G23*'Input - Assumptions pre-LDTI '!N28</f>
        <v>1826964.9409602317</v>
      </c>
      <c r="M41" s="27">
        <f t="shared" si="4"/>
        <v>1926250.6818980554</v>
      </c>
      <c r="N41" s="27">
        <f t="shared" si="10"/>
        <v>1434854.8247515291</v>
      </c>
      <c r="U41" s="27"/>
      <c r="W41" s="42"/>
    </row>
    <row r="42" spans="1:23" x14ac:dyDescent="0.25">
      <c r="A42" s="28">
        <v>9</v>
      </c>
      <c r="B42" s="39">
        <f>'Input - Assumptions pre-LDTI '!D29</f>
        <v>3.7500000000000006E-2</v>
      </c>
      <c r="C42" s="40">
        <f t="shared" si="5"/>
        <v>0.74489516771393272</v>
      </c>
      <c r="D42" s="47">
        <f t="shared" si="11"/>
        <v>0.71797124598933271</v>
      </c>
      <c r="E42" s="27">
        <f>H23*'Input - Assumptions pre-LDTI '!B29</f>
        <v>4338409.1291915737</v>
      </c>
      <c r="F42" s="27">
        <f t="shared" si="6"/>
        <v>3231659.995900814</v>
      </c>
      <c r="G42" s="27">
        <f>D23*'Input - Assumptions pre-LDTI '!I29</f>
        <v>19767.757935501257</v>
      </c>
      <c r="H42" s="27">
        <f t="shared" si="7"/>
        <v>14724.907362693633</v>
      </c>
      <c r="I42" s="27">
        <f>B24*'Input - Assumptions pre-LDTI '!J29</f>
        <v>1065.8025094047305</v>
      </c>
      <c r="J42" s="27">
        <f t="shared" si="8"/>
        <v>765.21555565587187</v>
      </c>
      <c r="K42" s="27">
        <f t="shared" si="9"/>
        <v>106580.25094047305</v>
      </c>
      <c r="L42" s="27">
        <f>G24*'Input - Assumptions pre-LDTI '!N29</f>
        <v>1590118.7436936134</v>
      </c>
      <c r="M42" s="27">
        <f t="shared" si="4"/>
        <v>1696698.9946340865</v>
      </c>
      <c r="N42" s="27">
        <f t="shared" si="10"/>
        <v>1218181.0912462831</v>
      </c>
      <c r="U42" s="27"/>
      <c r="W42" s="42"/>
    </row>
    <row r="43" spans="1:23" x14ac:dyDescent="0.25">
      <c r="A43" s="28">
        <v>10</v>
      </c>
      <c r="B43" s="39">
        <f>'Input - Assumptions pre-LDTI '!D30</f>
        <v>3.7500000000000006E-2</v>
      </c>
      <c r="C43" s="40">
        <f t="shared" si="5"/>
        <v>0.71797124598933271</v>
      </c>
      <c r="D43" s="47">
        <f t="shared" si="11"/>
        <v>0.69202047806200739</v>
      </c>
      <c r="E43" s="27">
        <f>H24*'Input - Assumptions pre-LDTI '!B30</f>
        <v>4164321.8641558676</v>
      </c>
      <c r="F43" s="27">
        <f t="shared" si="6"/>
        <v>2989863.3575086091</v>
      </c>
      <c r="G43" s="27">
        <f>D24*'Input - Assumptions pre-LDTI '!I30</f>
        <v>19354.028218015901</v>
      </c>
      <c r="H43" s="27">
        <f t="shared" si="7"/>
        <v>13895.635754601581</v>
      </c>
      <c r="I43" s="27">
        <f>B25*'Input - Assumptions pre-LDTI '!J30</f>
        <v>1140.098785920007</v>
      </c>
      <c r="J43" s="27">
        <f t="shared" si="8"/>
        <v>788.97170687027744</v>
      </c>
      <c r="K43" s="27">
        <f t="shared" si="9"/>
        <v>114009.87859200069</v>
      </c>
      <c r="L43" s="27">
        <f>G25*'Input - Assumptions pre-LDTI '!N30</f>
        <v>46156233.05647321</v>
      </c>
      <c r="M43" s="27">
        <f t="shared" si="4"/>
        <v>46270242.93506521</v>
      </c>
      <c r="N43" s="27">
        <f t="shared" si="10"/>
        <v>32019955.635969047</v>
      </c>
      <c r="U43" s="27"/>
      <c r="W43" s="42"/>
    </row>
    <row r="44" spans="1:23" x14ac:dyDescent="0.25">
      <c r="B44" s="35"/>
      <c r="C44" s="35"/>
      <c r="D44" s="35"/>
      <c r="F44" s="27"/>
      <c r="G44" s="35"/>
      <c r="H44" s="35"/>
      <c r="I44" s="35"/>
      <c r="J44" s="35"/>
    </row>
    <row r="45" spans="1:23" x14ac:dyDescent="0.25">
      <c r="A45" s="28" t="s">
        <v>54</v>
      </c>
      <c r="B45" s="35"/>
      <c r="C45" s="35"/>
      <c r="D45" s="35"/>
      <c r="F45" s="27">
        <f>SUM(F34:F44)</f>
        <v>51130234.460914604</v>
      </c>
      <c r="G45" s="35"/>
      <c r="H45" s="27">
        <f>SUM(H34:H44)</f>
        <v>213413.16746638258</v>
      </c>
      <c r="I45" s="27"/>
      <c r="J45" s="27">
        <f>SUM(J34:J44)</f>
        <v>7288.6663942259211</v>
      </c>
      <c r="N45" s="42">
        <f>SUM(N34:N44)</f>
        <v>43951717.213816218</v>
      </c>
      <c r="P45" s="42"/>
    </row>
    <row r="46" spans="1:23" x14ac:dyDescent="0.25">
      <c r="A46" s="20" t="s">
        <v>55</v>
      </c>
      <c r="B46" s="35"/>
      <c r="C46" s="35"/>
      <c r="D46" s="35"/>
      <c r="G46" s="35"/>
      <c r="H46" s="37">
        <f>H45/F45</f>
        <v>4.1739133355533824E-3</v>
      </c>
      <c r="I46" s="37"/>
      <c r="J46" s="37">
        <f>J45/F45</f>
        <v>1.4255100668074549E-4</v>
      </c>
      <c r="K46" s="48"/>
      <c r="L46" s="48"/>
      <c r="M46" s="49"/>
      <c r="N46" s="37">
        <f>N45/F45</f>
        <v>0.85960327929679559</v>
      </c>
    </row>
    <row r="47" spans="1:23" x14ac:dyDescent="0.25">
      <c r="B47" s="35"/>
      <c r="C47" s="35"/>
      <c r="D47" s="35"/>
      <c r="E47" s="35"/>
      <c r="F47" s="35"/>
      <c r="G47" s="35"/>
      <c r="H47" s="35"/>
      <c r="I47" s="35"/>
      <c r="J47" s="35"/>
    </row>
    <row r="48" spans="1:23" x14ac:dyDescent="0.25">
      <c r="A48" s="20" t="s">
        <v>56</v>
      </c>
      <c r="B48" s="35"/>
      <c r="C48" s="35"/>
      <c r="D48" s="35"/>
      <c r="E48" s="35"/>
      <c r="F48" s="37">
        <f>H46+J46+N46</f>
        <v>0.86391974363902968</v>
      </c>
      <c r="G48" s="35"/>
      <c r="H48" s="35"/>
      <c r="I48" s="35"/>
      <c r="J48" s="35"/>
    </row>
    <row r="49" spans="1:14" x14ac:dyDescent="0.25">
      <c r="B49" s="35"/>
      <c r="C49" s="35"/>
      <c r="D49" s="35"/>
      <c r="E49" s="35"/>
      <c r="F49" s="35"/>
      <c r="G49" s="35"/>
      <c r="H49" s="35"/>
      <c r="I49" s="35"/>
      <c r="J49" s="35"/>
    </row>
    <row r="50" spans="1:14" x14ac:dyDescent="0.25">
      <c r="A50" s="3" t="s">
        <v>109</v>
      </c>
      <c r="B50" s="35"/>
      <c r="C50" s="35"/>
      <c r="D50" s="35"/>
      <c r="E50" s="35"/>
      <c r="F50" s="35">
        <f>F45*F48</f>
        <v>44172419.047676824</v>
      </c>
      <c r="G50" s="35"/>
      <c r="H50" s="35"/>
      <c r="I50" s="35"/>
      <c r="J50" s="35"/>
    </row>
    <row r="51" spans="1:14" x14ac:dyDescent="0.25">
      <c r="B51" s="35"/>
      <c r="C51" s="35"/>
      <c r="D51" s="35"/>
      <c r="E51" s="35"/>
      <c r="F51" s="35"/>
      <c r="G51" s="35"/>
      <c r="H51" s="35"/>
      <c r="I51" s="35"/>
      <c r="J51" s="35"/>
    </row>
    <row r="52" spans="1:14" x14ac:dyDescent="0.25">
      <c r="C52" s="28"/>
      <c r="D52" s="28"/>
      <c r="G52" s="28"/>
      <c r="H52" s="28"/>
      <c r="I52" s="28"/>
      <c r="J52" s="28"/>
    </row>
    <row r="53" spans="1:14" x14ac:dyDescent="0.25">
      <c r="A53" s="28" t="s">
        <v>0</v>
      </c>
      <c r="B53" s="28"/>
      <c r="C53" s="28" t="s">
        <v>7</v>
      </c>
      <c r="D53" s="28" t="s">
        <v>59</v>
      </c>
      <c r="E53" s="28" t="s">
        <v>10</v>
      </c>
      <c r="F53" s="28" t="s">
        <v>76</v>
      </c>
      <c r="G53" s="28" t="s">
        <v>60</v>
      </c>
      <c r="H53" s="28"/>
      <c r="I53" s="28"/>
      <c r="J53" s="28"/>
      <c r="K53" s="28"/>
      <c r="L53" s="28"/>
      <c r="M53" s="28"/>
      <c r="N53" s="28"/>
    </row>
    <row r="54" spans="1:14" x14ac:dyDescent="0.25">
      <c r="A54" s="2" t="s">
        <v>1</v>
      </c>
      <c r="B54" s="2" t="s">
        <v>58</v>
      </c>
      <c r="C54" s="2" t="s">
        <v>28</v>
      </c>
      <c r="D54" s="2" t="s">
        <v>40</v>
      </c>
      <c r="E54" s="2" t="s">
        <v>32</v>
      </c>
      <c r="F54" s="2" t="s">
        <v>28</v>
      </c>
      <c r="G54" s="2" t="s">
        <v>39</v>
      </c>
      <c r="H54" s="2"/>
      <c r="I54" s="2" t="s">
        <v>132</v>
      </c>
      <c r="J54" s="2"/>
      <c r="K54" s="2"/>
      <c r="L54" s="2"/>
      <c r="M54" s="2"/>
      <c r="N54" s="2"/>
    </row>
    <row r="55" spans="1:14" x14ac:dyDescent="0.25">
      <c r="A55" s="28"/>
      <c r="G55" s="27">
        <v>0</v>
      </c>
      <c r="I55" s="27">
        <f>(SUMPRODUCT($M34:$M$44,$D34:$D$44)+SUMPRODUCT($I34:$I$44,$D34:$D$44)+SUMPRODUCT($G34:$G$44,$C34:$C$44)-$F$48*SUMPRODUCT($E34:$E$44,$C34:$C$44))/$C34</f>
        <v>0</v>
      </c>
      <c r="J55" s="27"/>
      <c r="K55" s="27"/>
      <c r="L55" s="27"/>
      <c r="M55" s="27"/>
    </row>
    <row r="56" spans="1:14" x14ac:dyDescent="0.25">
      <c r="A56" s="28">
        <v>1</v>
      </c>
      <c r="B56" s="27">
        <f>F$48*E34</f>
        <v>7775277.692751267</v>
      </c>
      <c r="C56" s="42">
        <f>-G34</f>
        <v>-35000</v>
      </c>
      <c r="D56" s="27">
        <f>B34*(G55+B56+C56)</f>
        <v>290260.41347817256</v>
      </c>
      <c r="E56" s="27">
        <f t="shared" ref="E56:E65" si="12">-M34</f>
        <v>-69300.000000000015</v>
      </c>
      <c r="F56" s="27">
        <f t="shared" ref="F56:F65" si="13">-I34</f>
        <v>-693.00000000000011</v>
      </c>
      <c r="G56" s="27">
        <f t="shared" ref="G56:G65" si="14">G55+SUM(B56:F56)</f>
        <v>7960545.1062294394</v>
      </c>
      <c r="H56" s="27"/>
      <c r="I56" s="27">
        <f>(SUMPRODUCT($M35:$M$44,$D35:$D$44)+SUMPRODUCT($I35:$I$44,$D35:$D$44)+SUMPRODUCT($G35:$G$44,$C35:$C$44)-$F$48*SUMPRODUCT($E35:$E$44,$C35:$C$44))/$C35</f>
        <v>7960545.1062294524</v>
      </c>
      <c r="J56" s="27"/>
      <c r="K56" s="27"/>
      <c r="L56" s="27"/>
      <c r="M56" s="27"/>
      <c r="N56" s="27"/>
    </row>
    <row r="57" spans="1:14" x14ac:dyDescent="0.25">
      <c r="A57" s="28">
        <v>2</v>
      </c>
      <c r="B57" s="27">
        <f t="shared" ref="B57:B65" si="15">F$48*E35</f>
        <v>6662680.1822034875</v>
      </c>
      <c r="C57" s="42">
        <f t="shared" ref="C57:C65" si="16">-G35</f>
        <v>-30591.535364250005</v>
      </c>
      <c r="D57" s="27">
        <f t="shared" ref="D57:D65" si="17">B35*(G56+B57+C57)</f>
        <v>547223.76574007538</v>
      </c>
      <c r="E57" s="27">
        <f t="shared" si="12"/>
        <v>-1048625.064030251</v>
      </c>
      <c r="F57" s="27">
        <f t="shared" si="13"/>
        <v>-725.79917236749998</v>
      </c>
      <c r="G57" s="27">
        <f t="shared" si="14"/>
        <v>14090506.655606134</v>
      </c>
      <c r="H57" s="27"/>
      <c r="I57" s="27">
        <f>(SUMPRODUCT($M36:$M$44,$D36:$D$44)+SUMPRODUCT($I36:$I$44,$D36:$D$44)+SUMPRODUCT($G36:$G$44,$C36:$C$44)-$F$48*SUMPRODUCT($E36:$E$44,$C36:$C$44))/$C36</f>
        <v>14090506.655606149</v>
      </c>
      <c r="J57" s="27"/>
      <c r="K57" s="27"/>
      <c r="L57" s="27"/>
      <c r="M57" s="27"/>
      <c r="N57" s="27"/>
    </row>
    <row r="58" spans="1:14" x14ac:dyDescent="0.25">
      <c r="A58" s="28">
        <v>3</v>
      </c>
      <c r="B58" s="27">
        <f t="shared" si="15"/>
        <v>5898134.686390996</v>
      </c>
      <c r="C58" s="42">
        <f t="shared" si="16"/>
        <v>-27622.766022938558</v>
      </c>
      <c r="D58" s="27">
        <f t="shared" si="17"/>
        <v>748538.19659903238</v>
      </c>
      <c r="E58" s="27">
        <f t="shared" si="12"/>
        <v>-1594318.818510009</v>
      </c>
      <c r="F58" s="27">
        <f t="shared" si="13"/>
        <v>-826.08865268797967</v>
      </c>
      <c r="G58" s="27">
        <f t="shared" si="14"/>
        <v>19114411.865410529</v>
      </c>
      <c r="H58" s="27"/>
      <c r="I58" s="27">
        <f>(SUMPRODUCT($M37:$M$44,$D37:$D$44)+SUMPRODUCT($I37:$I$44,$D37:$D$44)+SUMPRODUCT($G37:$G$44,$C37:$C$44)-$F$48*SUMPRODUCT($E37:$E$44,$C37:$C$44))/$C37</f>
        <v>19114411.865410537</v>
      </c>
      <c r="J58" s="27"/>
      <c r="K58" s="27"/>
      <c r="L58" s="27"/>
      <c r="M58" s="27"/>
      <c r="N58" s="27"/>
    </row>
    <row r="59" spans="1:14" x14ac:dyDescent="0.25">
      <c r="A59" s="28">
        <v>4</v>
      </c>
      <c r="B59" s="27">
        <f t="shared" si="15"/>
        <v>5331999.0140343523</v>
      </c>
      <c r="C59" s="42">
        <f t="shared" si="16"/>
        <v>-25470.807367255704</v>
      </c>
      <c r="D59" s="27">
        <f t="shared" si="17"/>
        <v>915785.25270291115</v>
      </c>
      <c r="E59" s="27">
        <f t="shared" si="12"/>
        <v>-1959889.896014828</v>
      </c>
      <c r="F59" s="27">
        <f t="shared" si="13"/>
        <v>-859.94700482950043</v>
      </c>
      <c r="G59" s="27">
        <f t="shared" si="14"/>
        <v>23375975.481760878</v>
      </c>
      <c r="H59" s="27"/>
      <c r="I59" s="27">
        <f>(SUMPRODUCT($M38:$M$44,$D38:$D$44)+SUMPRODUCT($I38:$I$44,$D38:$D$44)+SUMPRODUCT($G38:$G$44,$C38:$C$44)-$F$48*SUMPRODUCT($E38:$E$44,$C38:$C$44))/$C38</f>
        <v>23375975.481760893</v>
      </c>
      <c r="J59" s="27"/>
      <c r="K59" s="27"/>
      <c r="L59" s="27"/>
      <c r="M59" s="27"/>
      <c r="N59" s="27"/>
    </row>
    <row r="60" spans="1:14" x14ac:dyDescent="0.25">
      <c r="A60" s="28">
        <v>5</v>
      </c>
      <c r="B60" s="27">
        <f t="shared" si="15"/>
        <v>4869998.4525091043</v>
      </c>
      <c r="C60" s="42">
        <f t="shared" si="16"/>
        <v>-23729.120725439709</v>
      </c>
      <c r="D60" s="27">
        <f t="shared" si="17"/>
        <v>1058334.1805079207</v>
      </c>
      <c r="E60" s="27">
        <f t="shared" si="12"/>
        <v>-2132199.3685459387</v>
      </c>
      <c r="F60" s="27">
        <f t="shared" si="13"/>
        <v>-881.89233775218406</v>
      </c>
      <c r="G60" s="27">
        <f t="shared" si="14"/>
        <v>27147497.733168773</v>
      </c>
      <c r="H60" s="27"/>
      <c r="I60" s="27">
        <f>(SUMPRODUCT($M39:$M$44,$D39:$D$44)+SUMPRODUCT($I39:$I$44,$D39:$D$44)+SUMPRODUCT($G39:$G$44,$C39:$C$44)-$F$48*SUMPRODUCT($E39:$E$44,$C39:$C$44))/$C39</f>
        <v>27147497.733168792</v>
      </c>
      <c r="J60" s="27"/>
      <c r="K60" s="27"/>
      <c r="L60" s="27"/>
      <c r="M60" s="27"/>
      <c r="N60" s="27"/>
    </row>
    <row r="61" spans="1:14" x14ac:dyDescent="0.25">
      <c r="A61" s="28">
        <v>6</v>
      </c>
      <c r="B61" s="27">
        <f t="shared" si="15"/>
        <v>4493542.7410916854</v>
      </c>
      <c r="C61" s="42">
        <f t="shared" si="16"/>
        <v>-22332.732877156966</v>
      </c>
      <c r="D61" s="27">
        <f t="shared" si="17"/>
        <v>1185701.5403018738</v>
      </c>
      <c r="E61" s="27">
        <f t="shared" si="12"/>
        <v>-2161140.5159972198</v>
      </c>
      <c r="F61" s="27">
        <f t="shared" si="13"/>
        <v>-890.00754631987297</v>
      </c>
      <c r="G61" s="27">
        <f t="shared" si="14"/>
        <v>30642378.758141637</v>
      </c>
      <c r="H61" s="27"/>
      <c r="I61" s="27">
        <f>(SUMPRODUCT($M40:$M$44,$D40:$D$44)+SUMPRODUCT($I40:$I$44,$D40:$D$44)+SUMPRODUCT($G40:$G$44,$C40:$C$44)-$F$48*SUMPRODUCT($E40:$E$44,$C40:$C$44))/$C40</f>
        <v>30642378.758141655</v>
      </c>
      <c r="J61" s="27"/>
      <c r="K61" s="27"/>
      <c r="L61" s="27"/>
      <c r="M61" s="27"/>
      <c r="N61" s="27"/>
    </row>
    <row r="62" spans="1:14" x14ac:dyDescent="0.25">
      <c r="A62" s="28">
        <v>7</v>
      </c>
      <c r="B62" s="27">
        <f t="shared" si="15"/>
        <v>4188262.276699922</v>
      </c>
      <c r="C62" s="42">
        <f t="shared" si="16"/>
        <v>-21231.810843916541</v>
      </c>
      <c r="D62" s="27">
        <f t="shared" si="17"/>
        <v>1305352.8458999118</v>
      </c>
      <c r="E62" s="27">
        <f t="shared" si="12"/>
        <v>-2085901.3561133738</v>
      </c>
      <c r="F62" s="27">
        <f t="shared" si="13"/>
        <v>-936.19805292494152</v>
      </c>
      <c r="G62" s="27">
        <f t="shared" si="14"/>
        <v>34027924.515731253</v>
      </c>
      <c r="H62" s="27"/>
      <c r="I62" s="27">
        <f>(SUMPRODUCT($M41:$M$44,$D41:$D$44)+SUMPRODUCT($I41:$I$44,$D41:$D$44)+SUMPRODUCT($G41:$G$44,$C41:$C$44)-$F$48*SUMPRODUCT($E41:$E$44,$C41:$C$44))/$C41</f>
        <v>34027924.515731283</v>
      </c>
      <c r="J62" s="27"/>
      <c r="K62" s="27"/>
      <c r="L62" s="27"/>
      <c r="M62" s="27"/>
      <c r="N62" s="27"/>
    </row>
    <row r="63" spans="1:14" x14ac:dyDescent="0.25">
      <c r="A63" s="28">
        <v>8</v>
      </c>
      <c r="B63" s="27">
        <f t="shared" si="15"/>
        <v>3942667.0414818255</v>
      </c>
      <c r="C63" s="42">
        <f t="shared" si="16"/>
        <v>-20386.536090922426</v>
      </c>
      <c r="D63" s="27">
        <f t="shared" si="17"/>
        <v>1423132.6882920808</v>
      </c>
      <c r="E63" s="27">
        <f t="shared" si="12"/>
        <v>-1926250.6818980554</v>
      </c>
      <c r="F63" s="27">
        <f t="shared" si="13"/>
        <v>-992.85740937823675</v>
      </c>
      <c r="G63" s="27">
        <f t="shared" si="14"/>
        <v>37446094.170106806</v>
      </c>
      <c r="H63" s="27"/>
      <c r="I63" s="27">
        <f>(SUMPRODUCT($M42:$M$44,$D42:$D$44)+SUMPRODUCT($I42:$I$44,$D42:$D$44)+SUMPRODUCT($G42:$G$44,$C42:$C$44)-$F$48*SUMPRODUCT($E42:$E$44,$C42:$C$44))/$C42</f>
        <v>37446094.170106836</v>
      </c>
      <c r="J63" s="27"/>
      <c r="K63" s="27"/>
      <c r="L63" s="27"/>
      <c r="M63" s="27"/>
      <c r="N63" s="27"/>
    </row>
    <row r="64" spans="1:14" x14ac:dyDescent="0.25">
      <c r="A64" s="28">
        <v>9</v>
      </c>
      <c r="B64" s="27">
        <f t="shared" si="15"/>
        <v>3748037.3026924105</v>
      </c>
      <c r="C64" s="42">
        <f t="shared" si="16"/>
        <v>-19767.757935501257</v>
      </c>
      <c r="D64" s="27">
        <f t="shared" si="17"/>
        <v>1544038.6393073897</v>
      </c>
      <c r="E64" s="27">
        <f t="shared" si="12"/>
        <v>-1696698.9946340865</v>
      </c>
      <c r="F64" s="27">
        <f t="shared" si="13"/>
        <v>-1065.8025094047305</v>
      </c>
      <c r="G64" s="27">
        <f t="shared" si="14"/>
        <v>41020637.557027616</v>
      </c>
      <c r="H64" s="27"/>
      <c r="I64" s="27">
        <f>(SUMPRODUCT($M43:$M$44,$D43:$D$44)+SUMPRODUCT($I43:$I$44,$D43:$D$44)+SUMPRODUCT($G43:$G$44,$C43:$C$44)-$F$48*SUMPRODUCT($E43:$E$44,$C43:$C$44))/$C43</f>
        <v>41020637.557027638</v>
      </c>
      <c r="J64" s="27"/>
      <c r="K64" s="27"/>
      <c r="L64" s="27"/>
      <c r="M64" s="27"/>
      <c r="N64" s="27"/>
    </row>
    <row r="65" spans="1:14" x14ac:dyDescent="0.25">
      <c r="A65" s="28">
        <v>10</v>
      </c>
      <c r="B65" s="27">
        <f t="shared" si="15"/>
        <v>3597639.8773119431</v>
      </c>
      <c r="C65" s="42">
        <f t="shared" si="16"/>
        <v>-19354.028218015901</v>
      </c>
      <c r="D65" s="27">
        <f t="shared" si="17"/>
        <v>1672459.6277295582</v>
      </c>
      <c r="E65" s="27">
        <f t="shared" si="12"/>
        <v>-46270242.93506521</v>
      </c>
      <c r="F65" s="27">
        <f t="shared" si="13"/>
        <v>-1140.098785920007</v>
      </c>
      <c r="G65" s="27">
        <f t="shared" si="14"/>
        <v>0</v>
      </c>
      <c r="H65" s="27"/>
      <c r="I65" s="27"/>
      <c r="J65" s="27"/>
      <c r="K65" s="27"/>
      <c r="L65" s="27"/>
      <c r="M65" s="27"/>
      <c r="N65" s="27"/>
    </row>
    <row r="66" spans="1:14" x14ac:dyDescent="0.25">
      <c r="B66" s="35"/>
      <c r="D66" s="35"/>
      <c r="E66" s="35"/>
      <c r="F66" s="35"/>
      <c r="G66" s="35"/>
      <c r="H66" s="35"/>
      <c r="I66" s="35"/>
      <c r="J66" s="35"/>
      <c r="K66" s="35"/>
    </row>
    <row r="67" spans="1:14" x14ac:dyDescent="0.25">
      <c r="A67" s="3" t="s">
        <v>110</v>
      </c>
      <c r="F67" s="35"/>
      <c r="G67" s="35"/>
      <c r="H67" s="35"/>
      <c r="I67" s="35"/>
      <c r="J67" s="35"/>
      <c r="K67" s="35"/>
    </row>
    <row r="68" spans="1:14" x14ac:dyDescent="0.25">
      <c r="F68" s="35"/>
      <c r="G68" s="35"/>
      <c r="H68" s="35"/>
      <c r="I68" s="35"/>
      <c r="J68" s="35"/>
      <c r="K68" s="35"/>
    </row>
    <row r="69" spans="1:14" x14ac:dyDescent="0.25">
      <c r="B69" s="28" t="s">
        <v>111</v>
      </c>
      <c r="C69" s="28" t="s">
        <v>115</v>
      </c>
      <c r="D69" s="28" t="s">
        <v>116</v>
      </c>
      <c r="E69" s="28" t="s">
        <v>111</v>
      </c>
      <c r="F69" s="35"/>
      <c r="G69" s="35"/>
      <c r="H69" s="35"/>
      <c r="I69" s="35"/>
      <c r="J69" s="35"/>
      <c r="K69" s="35"/>
    </row>
    <row r="70" spans="1:14" x14ac:dyDescent="0.25">
      <c r="A70" s="28" t="s">
        <v>0</v>
      </c>
      <c r="B70" s="28" t="s">
        <v>39</v>
      </c>
      <c r="C70" s="28" t="s">
        <v>39</v>
      </c>
      <c r="D70" s="28" t="s">
        <v>114</v>
      </c>
      <c r="E70" s="28" t="s">
        <v>114</v>
      </c>
      <c r="F70" s="35"/>
      <c r="G70" s="35"/>
      <c r="H70" s="35"/>
      <c r="I70" s="35"/>
      <c r="J70" s="35"/>
      <c r="K70" s="35"/>
    </row>
    <row r="71" spans="1:14" x14ac:dyDescent="0.25">
      <c r="A71" s="2" t="s">
        <v>1</v>
      </c>
      <c r="B71" s="2" t="s">
        <v>113</v>
      </c>
      <c r="C71" s="2" t="s">
        <v>113</v>
      </c>
      <c r="D71" s="2" t="s">
        <v>113</v>
      </c>
      <c r="E71" s="2" t="s">
        <v>113</v>
      </c>
      <c r="F71" s="35"/>
      <c r="G71" s="35"/>
      <c r="H71" s="35"/>
      <c r="I71" s="35"/>
      <c r="J71" s="35"/>
      <c r="K71" s="35"/>
    </row>
    <row r="72" spans="1:14" x14ac:dyDescent="0.25">
      <c r="A72" s="28"/>
      <c r="B72" s="42">
        <f>G55</f>
        <v>0</v>
      </c>
      <c r="C72" s="36">
        <f>H15</f>
        <v>100000</v>
      </c>
      <c r="D72" s="36">
        <f>P15</f>
        <v>100000</v>
      </c>
      <c r="E72" s="27">
        <f>B72*D72/C72</f>
        <v>0</v>
      </c>
      <c r="F72" s="35"/>
      <c r="G72" s="35"/>
      <c r="H72" s="35"/>
      <c r="I72" s="35"/>
      <c r="J72" s="35"/>
      <c r="K72" s="35"/>
    </row>
    <row r="73" spans="1:14" x14ac:dyDescent="0.25">
      <c r="A73" s="28">
        <v>1</v>
      </c>
      <c r="B73" s="42">
        <f t="shared" ref="B73:B82" si="18">G56</f>
        <v>7960545.1062294394</v>
      </c>
      <c r="C73" s="36">
        <f t="shared" ref="C73:C82" si="19">H16</f>
        <v>85690.575249999994</v>
      </c>
      <c r="D73" s="36">
        <f t="shared" ref="D73:D82" si="20">P16</f>
        <v>84946.45</v>
      </c>
      <c r="E73" s="27">
        <f t="shared" ref="E73:E81" si="21">B73*D73/C73</f>
        <v>7891416.8199502639</v>
      </c>
      <c r="F73" s="35"/>
      <c r="G73" s="35"/>
      <c r="H73" s="35"/>
      <c r="I73" s="35"/>
      <c r="J73" s="35"/>
      <c r="K73" s="35"/>
    </row>
    <row r="74" spans="1:14" x14ac:dyDescent="0.25">
      <c r="A74" s="28">
        <v>2</v>
      </c>
      <c r="B74" s="42">
        <f t="shared" si="18"/>
        <v>14090506.655606134</v>
      </c>
      <c r="C74" s="36">
        <f t="shared" si="19"/>
        <v>75857.543864828229</v>
      </c>
      <c r="D74" s="36">
        <f t="shared" si="20"/>
        <v>74695.316285480003</v>
      </c>
      <c r="E74" s="27">
        <f t="shared" si="21"/>
        <v>13874623.374817127</v>
      </c>
      <c r="F74" s="35"/>
      <c r="G74" s="35"/>
      <c r="H74" s="35"/>
      <c r="I74" s="35"/>
      <c r="J74" s="35"/>
      <c r="K74" s="35"/>
    </row>
    <row r="75" spans="1:14" x14ac:dyDescent="0.25">
      <c r="A75" s="28">
        <v>3</v>
      </c>
      <c r="B75" s="42">
        <f t="shared" si="18"/>
        <v>19114411.865410529</v>
      </c>
      <c r="C75" s="36">
        <f t="shared" si="19"/>
        <v>68576.316174601277</v>
      </c>
      <c r="D75" s="36">
        <f t="shared" si="20"/>
        <v>67159.23113012164</v>
      </c>
      <c r="E75" s="27">
        <f t="shared" si="21"/>
        <v>18719424.955942657</v>
      </c>
      <c r="F75" s="35"/>
      <c r="G75" s="35"/>
      <c r="H75" s="35"/>
      <c r="I75" s="35"/>
      <c r="J75" s="35"/>
      <c r="K75" s="35"/>
    </row>
    <row r="76" spans="1:14" x14ac:dyDescent="0.25">
      <c r="A76" s="28">
        <v>4</v>
      </c>
      <c r="B76" s="42">
        <f t="shared" si="18"/>
        <v>23375975.481760878</v>
      </c>
      <c r="C76" s="36">
        <f t="shared" si="19"/>
        <v>62634.398988081215</v>
      </c>
      <c r="D76" s="36">
        <f t="shared" si="20"/>
        <v>61045.229342036298</v>
      </c>
      <c r="E76" s="27">
        <f t="shared" si="21"/>
        <v>22782876.62103143</v>
      </c>
      <c r="F76" s="35"/>
      <c r="G76" s="35"/>
      <c r="H76" s="35"/>
      <c r="I76" s="35"/>
      <c r="J76" s="35"/>
      <c r="K76" s="35"/>
    </row>
    <row r="77" spans="1:14" x14ac:dyDescent="0.25">
      <c r="A77" s="28">
        <v>5</v>
      </c>
      <c r="B77" s="42">
        <f t="shared" si="18"/>
        <v>27147497.733168773</v>
      </c>
      <c r="C77" s="36">
        <f t="shared" si="19"/>
        <v>57792.697812978739</v>
      </c>
      <c r="D77" s="36">
        <f t="shared" si="20"/>
        <v>56089.724132600219</v>
      </c>
      <c r="E77" s="27">
        <f t="shared" si="21"/>
        <v>26347544.177144613</v>
      </c>
      <c r="F77" s="35"/>
      <c r="G77" s="35"/>
      <c r="H77" s="35"/>
      <c r="I77" s="35"/>
      <c r="J77" s="35"/>
      <c r="K77" s="35"/>
    </row>
    <row r="78" spans="1:14" x14ac:dyDescent="0.25">
      <c r="A78" s="28">
        <v>6</v>
      </c>
      <c r="B78" s="42">
        <f t="shared" si="18"/>
        <v>30642378.758141637</v>
      </c>
      <c r="C78" s="36">
        <f t="shared" si="19"/>
        <v>53866.401203966685</v>
      </c>
      <c r="D78" s="36">
        <f t="shared" si="20"/>
        <v>52090.414622497556</v>
      </c>
      <c r="E78" s="27">
        <f t="shared" si="21"/>
        <v>29632093.083167925</v>
      </c>
      <c r="F78" s="35"/>
      <c r="G78" s="35"/>
      <c r="H78" s="35"/>
      <c r="I78" s="35"/>
      <c r="J78" s="35"/>
      <c r="K78" s="35"/>
    </row>
    <row r="79" spans="1:14" x14ac:dyDescent="0.25">
      <c r="A79" s="28">
        <v>7</v>
      </c>
      <c r="B79" s="42">
        <f t="shared" si="18"/>
        <v>34027924.515731253</v>
      </c>
      <c r="C79" s="36">
        <f t="shared" si="19"/>
        <v>50707.732858949763</v>
      </c>
      <c r="D79" s="36">
        <f t="shared" si="20"/>
        <v>48887.625061350373</v>
      </c>
      <c r="E79" s="27">
        <f t="shared" si="21"/>
        <v>32806523.217442393</v>
      </c>
      <c r="F79" s="35"/>
      <c r="G79" s="35"/>
      <c r="H79" s="35"/>
      <c r="I79" s="35"/>
      <c r="J79" s="35"/>
      <c r="K79" s="35"/>
    </row>
    <row r="80" spans="1:14" x14ac:dyDescent="0.25">
      <c r="A80" s="28">
        <v>8</v>
      </c>
      <c r="B80" s="42">
        <f t="shared" si="18"/>
        <v>37446094.170106806</v>
      </c>
      <c r="C80" s="36">
        <f t="shared" si="19"/>
        <v>48204.545879906371</v>
      </c>
      <c r="D80" s="36">
        <f t="shared" si="20"/>
        <v>46360.574834304112</v>
      </c>
      <c r="E80" s="27">
        <f t="shared" si="21"/>
        <v>36013666.747336388</v>
      </c>
      <c r="F80" s="35"/>
      <c r="G80" s="35"/>
      <c r="H80" s="35"/>
      <c r="I80" s="35"/>
      <c r="J80" s="35"/>
      <c r="K80" s="35"/>
    </row>
    <row r="81" spans="1:11" x14ac:dyDescent="0.25">
      <c r="A81" s="28">
        <v>9</v>
      </c>
      <c r="B81" s="42">
        <f t="shared" si="18"/>
        <v>41020637.557027616</v>
      </c>
      <c r="C81" s="36">
        <f t="shared" si="19"/>
        <v>46270.242935065195</v>
      </c>
      <c r="D81" s="36">
        <f t="shared" si="20"/>
        <v>44416.694475731674</v>
      </c>
      <c r="E81" s="27">
        <f t="shared" si="21"/>
        <v>39377384.0376672</v>
      </c>
      <c r="F81" s="35"/>
      <c r="G81" s="35"/>
      <c r="H81" s="35"/>
      <c r="I81" s="35"/>
      <c r="J81" s="35"/>
      <c r="K81" s="35"/>
    </row>
    <row r="82" spans="1:11" x14ac:dyDescent="0.25">
      <c r="A82" s="28">
        <v>10</v>
      </c>
      <c r="B82" s="42">
        <f t="shared" si="18"/>
        <v>0</v>
      </c>
      <c r="C82" s="36">
        <f t="shared" si="19"/>
        <v>0</v>
      </c>
      <c r="D82" s="36">
        <f t="shared" si="20"/>
        <v>0</v>
      </c>
      <c r="E82" s="27">
        <v>0</v>
      </c>
      <c r="F82" s="35"/>
      <c r="G82" s="35"/>
      <c r="H82" s="35"/>
      <c r="I82" s="35"/>
      <c r="J82" s="35"/>
      <c r="K82" s="35"/>
    </row>
    <row r="83" spans="1:11" x14ac:dyDescent="0.25">
      <c r="B83" s="35"/>
      <c r="D83" s="35"/>
      <c r="E83" s="35"/>
      <c r="F83" s="35"/>
      <c r="G83" s="35"/>
      <c r="H83" s="35"/>
      <c r="I83" s="35"/>
      <c r="J83" s="35"/>
      <c r="K83" s="35"/>
    </row>
    <row r="84" spans="1:11" x14ac:dyDescent="0.25">
      <c r="A84" s="3" t="s">
        <v>9</v>
      </c>
      <c r="B84" s="43"/>
    </row>
    <row r="85" spans="1:11" x14ac:dyDescent="0.25">
      <c r="A85" s="3"/>
    </row>
    <row r="86" spans="1:11" x14ac:dyDescent="0.25">
      <c r="A86" s="20" t="s">
        <v>91</v>
      </c>
      <c r="B86" s="26">
        <f>D92/F45</f>
        <v>0.12517055842746705</v>
      </c>
    </row>
    <row r="87" spans="1:11" x14ac:dyDescent="0.25">
      <c r="A87" s="3"/>
      <c r="F87" s="28" t="s">
        <v>11</v>
      </c>
    </row>
    <row r="88" spans="1:11" x14ac:dyDescent="0.25">
      <c r="B88" s="28"/>
      <c r="C88" s="28" t="s">
        <v>17</v>
      </c>
      <c r="D88" s="28" t="s">
        <v>10</v>
      </c>
      <c r="F88" s="28"/>
      <c r="G88" s="28"/>
    </row>
    <row r="89" spans="1:11" x14ac:dyDescent="0.25">
      <c r="A89" s="28" t="s">
        <v>0</v>
      </c>
      <c r="B89" s="28" t="s">
        <v>17</v>
      </c>
      <c r="C89" s="28" t="s">
        <v>27</v>
      </c>
      <c r="D89" s="28" t="s">
        <v>17</v>
      </c>
      <c r="E89" s="28"/>
      <c r="F89" s="28" t="s">
        <v>92</v>
      </c>
      <c r="G89" s="28"/>
      <c r="H89" s="28"/>
      <c r="I89" s="28"/>
      <c r="J89" s="28" t="s">
        <v>83</v>
      </c>
    </row>
    <row r="90" spans="1:11" x14ac:dyDescent="0.25">
      <c r="A90" s="2" t="s">
        <v>1</v>
      </c>
      <c r="B90" s="2" t="s">
        <v>6</v>
      </c>
      <c r="C90" s="2" t="s">
        <v>28</v>
      </c>
      <c r="D90" s="2" t="s">
        <v>28</v>
      </c>
      <c r="E90" s="2"/>
      <c r="F90" s="2" t="s">
        <v>9</v>
      </c>
      <c r="G90" s="2" t="s">
        <v>93</v>
      </c>
      <c r="H90" s="2" t="s">
        <v>11</v>
      </c>
      <c r="I90" s="2" t="s">
        <v>40</v>
      </c>
      <c r="J90" s="2" t="s">
        <v>9</v>
      </c>
    </row>
    <row r="91" spans="1:11" x14ac:dyDescent="0.25">
      <c r="E91" s="36"/>
      <c r="F91" s="27"/>
      <c r="G91" s="27"/>
      <c r="H91" s="27"/>
      <c r="I91" s="27"/>
      <c r="J91" s="27">
        <v>0</v>
      </c>
    </row>
    <row r="92" spans="1:11" x14ac:dyDescent="0.25">
      <c r="A92" s="20">
        <v>1</v>
      </c>
      <c r="B92" s="36">
        <f>'Input - Assumptions pre-LDTI '!F21*'Actuarial balances pre-LDTI'!E34</f>
        <v>6300000</v>
      </c>
      <c r="C92" s="36">
        <f>'Input - Assumptions pre-LDTI '!H21*'Actuarial balances pre-LDTI'!D15</f>
        <v>100000</v>
      </c>
      <c r="D92" s="36">
        <f>B92+C92</f>
        <v>6400000</v>
      </c>
      <c r="E92" s="36"/>
      <c r="F92" s="27">
        <f>J91</f>
        <v>0</v>
      </c>
      <c r="G92" s="27">
        <f>D92</f>
        <v>6400000</v>
      </c>
      <c r="H92" s="27">
        <f t="shared" ref="H92:H101" si="22">-E34*$B$86</f>
        <v>-1126535.0258472033</v>
      </c>
      <c r="I92" s="27">
        <f t="shared" ref="I92:I101" si="23">SUM(F92:H92)*B34</f>
        <v>197754.9365307299</v>
      </c>
      <c r="J92" s="27">
        <f>SUM(F92:I92)</f>
        <v>5471219.9106835267</v>
      </c>
    </row>
    <row r="93" spans="1:11" x14ac:dyDescent="0.25">
      <c r="A93" s="20">
        <v>2</v>
      </c>
      <c r="B93" s="36">
        <f>'Input - Assumptions pre-LDTI '!F22*'Actuarial balances pre-LDTI'!E35</f>
        <v>0</v>
      </c>
      <c r="C93" s="36">
        <v>0</v>
      </c>
      <c r="D93" s="36">
        <v>0</v>
      </c>
      <c r="E93" s="36"/>
      <c r="F93" s="27">
        <f t="shared" ref="F93:F101" si="24">J92</f>
        <v>5471219.9106835267</v>
      </c>
      <c r="G93" s="27">
        <f t="shared" ref="G93:G101" si="25">D93</f>
        <v>0</v>
      </c>
      <c r="H93" s="27">
        <f t="shared" si="22"/>
        <v>-965334.34404120466</v>
      </c>
      <c r="I93" s="27">
        <f t="shared" si="23"/>
        <v>168970.70874908709</v>
      </c>
      <c r="J93" s="27">
        <f t="shared" ref="J93:J101" si="26">SUM(F93:I93)</f>
        <v>4674856.2753914092</v>
      </c>
    </row>
    <row r="94" spans="1:11" x14ac:dyDescent="0.25">
      <c r="A94" s="20">
        <v>3</v>
      </c>
      <c r="B94" s="36">
        <f>'Input - Assumptions pre-LDTI '!F23*'Actuarial balances pre-LDTI'!E36</f>
        <v>0</v>
      </c>
      <c r="C94" s="36">
        <v>0</v>
      </c>
      <c r="D94" s="36">
        <v>0</v>
      </c>
      <c r="E94" s="36"/>
      <c r="F94" s="27">
        <f t="shared" si="24"/>
        <v>4674856.2753914092</v>
      </c>
      <c r="G94" s="27">
        <f t="shared" si="25"/>
        <v>0</v>
      </c>
      <c r="H94" s="27">
        <f t="shared" si="22"/>
        <v>-854561.80138469627</v>
      </c>
      <c r="I94" s="27">
        <f t="shared" si="23"/>
        <v>143261.04277525176</v>
      </c>
      <c r="J94" s="27">
        <f t="shared" si="26"/>
        <v>3963555.5167819648</v>
      </c>
    </row>
    <row r="95" spans="1:11" x14ac:dyDescent="0.25">
      <c r="A95" s="20">
        <v>4</v>
      </c>
      <c r="B95" s="36">
        <f>'Input - Assumptions pre-LDTI '!F24*'Actuarial balances pre-LDTI'!E37</f>
        <v>0</v>
      </c>
      <c r="C95" s="36">
        <v>0</v>
      </c>
      <c r="D95" s="36">
        <v>0</v>
      </c>
      <c r="E95" s="36"/>
      <c r="F95" s="27">
        <f t="shared" si="24"/>
        <v>3963555.5167819648</v>
      </c>
      <c r="G95" s="27">
        <f t="shared" si="25"/>
        <v>0</v>
      </c>
      <c r="H95" s="27">
        <f t="shared" si="22"/>
        <v>-772536.22114260448</v>
      </c>
      <c r="I95" s="27">
        <f t="shared" si="23"/>
        <v>119663.22358647603</v>
      </c>
      <c r="J95" s="27">
        <f t="shared" si="26"/>
        <v>3310682.5192258363</v>
      </c>
    </row>
    <row r="96" spans="1:11" x14ac:dyDescent="0.25">
      <c r="A96" s="20">
        <v>5</v>
      </c>
      <c r="B96" s="36">
        <f>'Input - Assumptions pre-LDTI '!F25*'Actuarial balances pre-LDTI'!E38</f>
        <v>0</v>
      </c>
      <c r="C96" s="36">
        <v>0</v>
      </c>
      <c r="D96" s="36">
        <v>0</v>
      </c>
      <c r="E96" s="36"/>
      <c r="F96" s="27">
        <f t="shared" si="24"/>
        <v>3310682.5192258363</v>
      </c>
      <c r="G96" s="27">
        <f t="shared" si="25"/>
        <v>0</v>
      </c>
      <c r="H96" s="27">
        <f t="shared" si="22"/>
        <v>-705598.44282962126</v>
      </c>
      <c r="I96" s="27">
        <f t="shared" si="23"/>
        <v>97690.652864858072</v>
      </c>
      <c r="J96" s="27">
        <f t="shared" si="26"/>
        <v>2702774.7292610728</v>
      </c>
    </row>
    <row r="97" spans="1:10" x14ac:dyDescent="0.25">
      <c r="A97" s="20">
        <v>6</v>
      </c>
      <c r="B97" s="36">
        <f>'Input - Assumptions pre-LDTI '!F26*'Actuarial balances pre-LDTI'!E39</f>
        <v>0</v>
      </c>
      <c r="C97" s="36">
        <v>0</v>
      </c>
      <c r="D97" s="36">
        <v>0</v>
      </c>
      <c r="E97" s="36"/>
      <c r="F97" s="27">
        <f t="shared" si="24"/>
        <v>2702774.7292610728</v>
      </c>
      <c r="G97" s="27">
        <f t="shared" si="25"/>
        <v>0</v>
      </c>
      <c r="H97" s="27">
        <f t="shared" si="22"/>
        <v>-651054.98324523622</v>
      </c>
      <c r="I97" s="27">
        <f t="shared" si="23"/>
        <v>76939.490475593877</v>
      </c>
      <c r="J97" s="27">
        <f t="shared" si="26"/>
        <v>2128659.2364914306</v>
      </c>
    </row>
    <row r="98" spans="1:10" x14ac:dyDescent="0.25">
      <c r="A98" s="20">
        <v>7</v>
      </c>
      <c r="B98" s="36">
        <f>'Input - Assumptions pre-LDTI '!F27*'Actuarial balances pre-LDTI'!E40</f>
        <v>0</v>
      </c>
      <c r="C98" s="36">
        <v>0</v>
      </c>
      <c r="D98" s="36">
        <v>0</v>
      </c>
      <c r="E98" s="36"/>
      <c r="F98" s="27">
        <f t="shared" si="24"/>
        <v>2128659.2364914306</v>
      </c>
      <c r="G98" s="27">
        <f t="shared" si="25"/>
        <v>0</v>
      </c>
      <c r="H98" s="27">
        <f t="shared" si="22"/>
        <v>-606823.87672606448</v>
      </c>
      <c r="I98" s="27">
        <f t="shared" si="23"/>
        <v>57068.825991201244</v>
      </c>
      <c r="J98" s="27">
        <f t="shared" si="26"/>
        <v>1578904.1857565674</v>
      </c>
    </row>
    <row r="99" spans="1:10" x14ac:dyDescent="0.25">
      <c r="A99" s="20">
        <v>8</v>
      </c>
      <c r="B99" s="36">
        <f>'Input - Assumptions pre-LDTI '!F28*'Actuarial balances pre-LDTI'!E41</f>
        <v>0</v>
      </c>
      <c r="C99" s="36">
        <v>0</v>
      </c>
      <c r="D99" s="36">
        <v>0</v>
      </c>
      <c r="E99" s="36"/>
      <c r="F99" s="27">
        <f t="shared" si="24"/>
        <v>1578904.1857565674</v>
      </c>
      <c r="G99" s="27">
        <f t="shared" si="25"/>
        <v>0</v>
      </c>
      <c r="H99" s="27">
        <f t="shared" si="22"/>
        <v>-571240.37146910059</v>
      </c>
      <c r="I99" s="27">
        <f t="shared" si="23"/>
        <v>37787.393035780013</v>
      </c>
      <c r="J99" s="27">
        <f t="shared" si="26"/>
        <v>1045451.2073232469</v>
      </c>
    </row>
    <row r="100" spans="1:10" x14ac:dyDescent="0.25">
      <c r="A100" s="20">
        <v>9</v>
      </c>
      <c r="B100" s="36">
        <f>'Input - Assumptions pre-LDTI '!F29*'Actuarial balances pre-LDTI'!E42</f>
        <v>0</v>
      </c>
      <c r="C100" s="36">
        <v>0</v>
      </c>
      <c r="D100" s="36">
        <v>0</v>
      </c>
      <c r="E100" s="36"/>
      <c r="F100" s="27">
        <f t="shared" si="24"/>
        <v>1045451.2073232469</v>
      </c>
      <c r="G100" s="27">
        <f t="shared" si="25"/>
        <v>0</v>
      </c>
      <c r="H100" s="27">
        <f t="shared" si="22"/>
        <v>-543041.0933877303</v>
      </c>
      <c r="I100" s="27">
        <f t="shared" si="23"/>
        <v>18840.379272581875</v>
      </c>
      <c r="J100" s="27">
        <f t="shared" si="26"/>
        <v>521250.49320809846</v>
      </c>
    </row>
    <row r="101" spans="1:10" x14ac:dyDescent="0.25">
      <c r="A101" s="20">
        <v>10</v>
      </c>
      <c r="B101" s="36">
        <f>'Input - Assumptions pre-LDTI '!F30*'Actuarial balances pre-LDTI'!E43</f>
        <v>0</v>
      </c>
      <c r="C101" s="36">
        <v>0</v>
      </c>
      <c r="D101" s="36">
        <v>0</v>
      </c>
      <c r="E101" s="36"/>
      <c r="F101" s="27">
        <f t="shared" si="24"/>
        <v>521250.49320809846</v>
      </c>
      <c r="G101" s="27">
        <f t="shared" si="25"/>
        <v>0</v>
      </c>
      <c r="H101" s="27">
        <f t="shared" si="22"/>
        <v>-521250.49320810055</v>
      </c>
      <c r="I101" s="27">
        <f t="shared" si="23"/>
        <v>-7.8580342233181005E-11</v>
      </c>
      <c r="J101" s="27">
        <f t="shared" si="26"/>
        <v>-2.1740561351180077E-9</v>
      </c>
    </row>
    <row r="102" spans="1:10" x14ac:dyDescent="0.25">
      <c r="B102" s="36"/>
      <c r="C102" s="36"/>
      <c r="D102" s="36"/>
      <c r="E102" s="36"/>
    </row>
    <row r="103" spans="1:10" x14ac:dyDescent="0.25">
      <c r="A103" s="28" t="s">
        <v>64</v>
      </c>
      <c r="B103" s="36"/>
      <c r="C103" s="36"/>
      <c r="D103" s="36"/>
      <c r="E103" s="36"/>
      <c r="G103" s="36"/>
    </row>
    <row r="104" spans="1:10" x14ac:dyDescent="0.25">
      <c r="B104" s="36"/>
      <c r="C104" s="36"/>
      <c r="D104" s="36"/>
      <c r="E104" s="41"/>
    </row>
    <row r="105" spans="1:10" x14ac:dyDescent="0.25">
      <c r="A105" s="3" t="s">
        <v>117</v>
      </c>
    </row>
    <row r="106" spans="1:10" x14ac:dyDescent="0.25">
      <c r="A106" s="3"/>
    </row>
    <row r="107" spans="1:10" x14ac:dyDescent="0.25">
      <c r="B107" s="28" t="s">
        <v>118</v>
      </c>
      <c r="C107" s="28" t="s">
        <v>115</v>
      </c>
      <c r="D107" s="28" t="s">
        <v>116</v>
      </c>
      <c r="E107" s="28" t="s">
        <v>118</v>
      </c>
    </row>
    <row r="108" spans="1:10" x14ac:dyDescent="0.25">
      <c r="A108" s="28" t="s">
        <v>0</v>
      </c>
      <c r="B108" s="28" t="s">
        <v>39</v>
      </c>
      <c r="C108" s="28" t="s">
        <v>39</v>
      </c>
      <c r="D108" s="28" t="s">
        <v>114</v>
      </c>
      <c r="E108" s="28" t="s">
        <v>114</v>
      </c>
    </row>
    <row r="109" spans="1:10" x14ac:dyDescent="0.25">
      <c r="A109" s="2" t="s">
        <v>1</v>
      </c>
      <c r="B109" s="2" t="s">
        <v>113</v>
      </c>
      <c r="C109" s="2" t="s">
        <v>113</v>
      </c>
      <c r="D109" s="2" t="s">
        <v>113</v>
      </c>
      <c r="E109" s="2" t="s">
        <v>113</v>
      </c>
    </row>
    <row r="110" spans="1:10" x14ac:dyDescent="0.25">
      <c r="A110" s="28"/>
      <c r="B110" s="42">
        <f>J91</f>
        <v>0</v>
      </c>
      <c r="C110" s="36">
        <f>C72</f>
        <v>100000</v>
      </c>
      <c r="D110" s="36">
        <f>D72</f>
        <v>100000</v>
      </c>
      <c r="E110" s="27">
        <f>B110*D110/C110</f>
        <v>0</v>
      </c>
    </row>
    <row r="111" spans="1:10" x14ac:dyDescent="0.25">
      <c r="A111" s="28">
        <v>1</v>
      </c>
      <c r="B111" s="42">
        <f t="shared" ref="B111:B120" si="27">J92</f>
        <v>5471219.9106835267</v>
      </c>
      <c r="C111" s="36">
        <f t="shared" ref="C111:D111" si="28">C73</f>
        <v>85690.575249999994</v>
      </c>
      <c r="D111" s="36">
        <f t="shared" si="28"/>
        <v>84946.45</v>
      </c>
      <c r="E111" s="27">
        <f t="shared" ref="E111:E119" si="29">B111*D111/C111</f>
        <v>5423708.5843566284</v>
      </c>
    </row>
    <row r="112" spans="1:10" x14ac:dyDescent="0.25">
      <c r="A112" s="28">
        <v>2</v>
      </c>
      <c r="B112" s="42">
        <f t="shared" si="27"/>
        <v>4674856.2753914092</v>
      </c>
      <c r="C112" s="36">
        <f t="shared" ref="C112:D112" si="30">C74</f>
        <v>75857.543864828229</v>
      </c>
      <c r="D112" s="36">
        <f t="shared" si="30"/>
        <v>74695.316285480003</v>
      </c>
      <c r="E112" s="27">
        <f t="shared" si="29"/>
        <v>4603231.930389802</v>
      </c>
    </row>
    <row r="113" spans="1:10" x14ac:dyDescent="0.25">
      <c r="A113" s="28">
        <v>3</v>
      </c>
      <c r="B113" s="42">
        <f t="shared" si="27"/>
        <v>3963555.5167819648</v>
      </c>
      <c r="C113" s="36">
        <f t="shared" ref="C113:D113" si="31">C75</f>
        <v>68576.316174601277</v>
      </c>
      <c r="D113" s="36">
        <f t="shared" si="31"/>
        <v>67159.23113012164</v>
      </c>
      <c r="E113" s="27">
        <f t="shared" si="29"/>
        <v>3881651.2157183746</v>
      </c>
    </row>
    <row r="114" spans="1:10" x14ac:dyDescent="0.25">
      <c r="A114" s="28">
        <v>4</v>
      </c>
      <c r="B114" s="42">
        <f t="shared" si="27"/>
        <v>3310682.5192258363</v>
      </c>
      <c r="C114" s="36">
        <f t="shared" ref="C114:D114" si="32">C76</f>
        <v>62634.398988081215</v>
      </c>
      <c r="D114" s="36">
        <f t="shared" si="32"/>
        <v>61045.229342036298</v>
      </c>
      <c r="E114" s="27">
        <f t="shared" si="29"/>
        <v>3226683.3709583422</v>
      </c>
    </row>
    <row r="115" spans="1:10" x14ac:dyDescent="0.25">
      <c r="A115" s="28">
        <v>5</v>
      </c>
      <c r="B115" s="42">
        <f t="shared" si="27"/>
        <v>2702774.7292610728</v>
      </c>
      <c r="C115" s="36">
        <f t="shared" ref="C115:D115" si="33">C77</f>
        <v>57792.697812978739</v>
      </c>
      <c r="D115" s="36">
        <f t="shared" si="33"/>
        <v>56089.724132600219</v>
      </c>
      <c r="E115" s="27">
        <f t="shared" si="29"/>
        <v>2623132.2415056364</v>
      </c>
    </row>
    <row r="116" spans="1:10" x14ac:dyDescent="0.25">
      <c r="A116" s="28">
        <v>6</v>
      </c>
      <c r="B116" s="42">
        <f t="shared" si="27"/>
        <v>2128659.2364914306</v>
      </c>
      <c r="C116" s="36">
        <f t="shared" ref="C116:D116" si="34">C78</f>
        <v>53866.401203966685</v>
      </c>
      <c r="D116" s="36">
        <f t="shared" si="34"/>
        <v>52090.414622497556</v>
      </c>
      <c r="E116" s="27">
        <f t="shared" si="29"/>
        <v>2058476.8935832004</v>
      </c>
    </row>
    <row r="117" spans="1:10" x14ac:dyDescent="0.25">
      <c r="A117" s="28">
        <v>7</v>
      </c>
      <c r="B117" s="42">
        <f t="shared" si="27"/>
        <v>1578904.1857565674</v>
      </c>
      <c r="C117" s="36">
        <f t="shared" ref="C117:D117" si="35">C79</f>
        <v>50707.732858949763</v>
      </c>
      <c r="D117" s="36">
        <f t="shared" si="35"/>
        <v>48887.625061350373</v>
      </c>
      <c r="E117" s="27">
        <f t="shared" si="29"/>
        <v>1522230.8608388151</v>
      </c>
    </row>
    <row r="118" spans="1:10" x14ac:dyDescent="0.25">
      <c r="A118" s="28">
        <v>8</v>
      </c>
      <c r="B118" s="42">
        <f t="shared" si="27"/>
        <v>1045451.2073232469</v>
      </c>
      <c r="C118" s="36">
        <f t="shared" ref="C118:D118" si="36">C80</f>
        <v>48204.545879906371</v>
      </c>
      <c r="D118" s="36">
        <f t="shared" si="36"/>
        <v>46360.574834304112</v>
      </c>
      <c r="E118" s="27">
        <f t="shared" si="29"/>
        <v>1005459.5069409481</v>
      </c>
    </row>
    <row r="119" spans="1:10" x14ac:dyDescent="0.25">
      <c r="A119" s="28">
        <v>9</v>
      </c>
      <c r="B119" s="42">
        <f t="shared" si="27"/>
        <v>521250.49320809846</v>
      </c>
      <c r="C119" s="36">
        <f t="shared" ref="C119:D119" si="37">C81</f>
        <v>46270.242935065195</v>
      </c>
      <c r="D119" s="36">
        <f t="shared" si="37"/>
        <v>44416.694475731674</v>
      </c>
      <c r="E119" s="27">
        <f t="shared" si="29"/>
        <v>500369.62059265521</v>
      </c>
    </row>
    <row r="120" spans="1:10" x14ac:dyDescent="0.25">
      <c r="A120" s="28">
        <v>10</v>
      </c>
      <c r="B120" s="42">
        <f t="shared" si="27"/>
        <v>-2.1740561351180077E-9</v>
      </c>
      <c r="C120" s="36">
        <f t="shared" ref="C120:D120" si="38">C82</f>
        <v>0</v>
      </c>
      <c r="D120" s="36">
        <f t="shared" si="38"/>
        <v>0</v>
      </c>
      <c r="E120" s="27">
        <v>0</v>
      </c>
    </row>
    <row r="121" spans="1:10" x14ac:dyDescent="0.25">
      <c r="B121" s="36"/>
      <c r="C121" s="36"/>
      <c r="D121" s="36"/>
    </row>
    <row r="122" spans="1:10" x14ac:dyDescent="0.25">
      <c r="A122" s="4" t="s">
        <v>62</v>
      </c>
      <c r="B122" s="1"/>
      <c r="C122" s="1"/>
      <c r="D122" s="1"/>
    </row>
    <row r="124" spans="1:10" x14ac:dyDescent="0.25">
      <c r="A124" s="3" t="s">
        <v>25</v>
      </c>
      <c r="B124" s="3"/>
      <c r="C124" s="3"/>
      <c r="D124" s="3"/>
    </row>
    <row r="126" spans="1:10" x14ac:dyDescent="0.25">
      <c r="A126" s="28" t="s">
        <v>0</v>
      </c>
      <c r="B126" s="28" t="s">
        <v>50</v>
      </c>
      <c r="C126" s="28" t="s">
        <v>50</v>
      </c>
      <c r="D126" s="28" t="s">
        <v>22</v>
      </c>
      <c r="F126" s="28" t="s">
        <v>51</v>
      </c>
      <c r="G126" s="28" t="s">
        <v>51</v>
      </c>
      <c r="H126" s="28" t="s">
        <v>42</v>
      </c>
      <c r="I126" s="28"/>
      <c r="J126" s="28"/>
    </row>
    <row r="127" spans="1:10" x14ac:dyDescent="0.25">
      <c r="A127" s="2" t="s">
        <v>1</v>
      </c>
      <c r="B127" s="2" t="s">
        <v>23</v>
      </c>
      <c r="C127" s="2" t="s">
        <v>24</v>
      </c>
      <c r="D127" s="2" t="s">
        <v>26</v>
      </c>
      <c r="F127" s="2" t="s">
        <v>23</v>
      </c>
      <c r="G127" s="2" t="s">
        <v>24</v>
      </c>
      <c r="H127" s="2" t="s">
        <v>26</v>
      </c>
      <c r="I127" s="2"/>
      <c r="J127" s="2"/>
    </row>
    <row r="128" spans="1:10" x14ac:dyDescent="0.25">
      <c r="D128" s="35">
        <f>'Actuarial balances'!D109</f>
        <v>1000</v>
      </c>
      <c r="H128" s="36">
        <f>'Actuarial balances'!H109</f>
        <v>100000</v>
      </c>
      <c r="I128" s="36"/>
      <c r="J128" s="36"/>
    </row>
    <row r="129" spans="1:14" x14ac:dyDescent="0.25">
      <c r="A129" s="20">
        <v>1</v>
      </c>
      <c r="B129" s="35">
        <f>'Actuarial balances'!B110</f>
        <v>0.63</v>
      </c>
      <c r="C129" s="35">
        <f>'Actuarial balances'!C110</f>
        <v>149.90549999999999</v>
      </c>
      <c r="D129" s="35">
        <f>'Actuarial balances'!D110</f>
        <v>849.46450000000004</v>
      </c>
      <c r="E129" s="45"/>
      <c r="F129" s="36">
        <f>'Actuarial balances'!F110</f>
        <v>63</v>
      </c>
      <c r="G129" s="36">
        <f>'Actuarial balances'!G110</f>
        <v>14990.55</v>
      </c>
      <c r="H129" s="36">
        <f>'Actuarial balances'!H110</f>
        <v>84946.45</v>
      </c>
      <c r="I129" s="36"/>
      <c r="J129" s="36"/>
    </row>
    <row r="130" spans="1:14" x14ac:dyDescent="0.25">
      <c r="A130" s="20">
        <v>2</v>
      </c>
      <c r="B130" s="35">
        <f>'Actuarial balances'!B111</f>
        <v>0.65408766500000004</v>
      </c>
      <c r="C130" s="35">
        <f>'Actuarial balances'!C111</f>
        <v>101.8572494802</v>
      </c>
      <c r="D130" s="35">
        <f>'Actuarial balances'!D111</f>
        <v>746.95316285479998</v>
      </c>
      <c r="E130" s="45"/>
      <c r="F130" s="36">
        <f>'Actuarial balances'!F111</f>
        <v>65.408766499999999</v>
      </c>
      <c r="G130" s="36">
        <f>'Actuarial balances'!G111</f>
        <v>10185.724948019999</v>
      </c>
      <c r="H130" s="36">
        <f>'Actuarial balances'!H111</f>
        <v>74695.316285480003</v>
      </c>
      <c r="I130" s="36"/>
      <c r="J130" s="36"/>
    </row>
    <row r="131" spans="1:14" x14ac:dyDescent="0.25">
      <c r="A131" s="20">
        <v>3</v>
      </c>
      <c r="B131" s="35">
        <f>'Actuarial balances'!B112</f>
        <v>0.73948363122625194</v>
      </c>
      <c r="C131" s="35">
        <f>'Actuarial balances'!C112</f>
        <v>74.621367922357379</v>
      </c>
      <c r="D131" s="35">
        <f>'Actuarial balances'!D112</f>
        <v>671.59231130121634</v>
      </c>
      <c r="E131" s="45"/>
      <c r="F131" s="36">
        <f>'Actuarial balances'!F112</f>
        <v>73.948363122625196</v>
      </c>
      <c r="G131" s="36">
        <f>'Actuarial balances'!G112</f>
        <v>7462.1367922357376</v>
      </c>
      <c r="H131" s="36">
        <f>'Actuarial balances'!H112</f>
        <v>67159.23113012164</v>
      </c>
      <c r="I131" s="36"/>
      <c r="J131" s="36"/>
    </row>
    <row r="132" spans="1:14" x14ac:dyDescent="0.25">
      <c r="A132" s="20">
        <v>4</v>
      </c>
      <c r="B132" s="35">
        <f>'Actuarial balances'!B113</f>
        <v>0.76561523488338656</v>
      </c>
      <c r="C132" s="35">
        <f>'Actuarial balances'!C113</f>
        <v>60.374402645969965</v>
      </c>
      <c r="D132" s="35">
        <f>'Actuarial balances'!D113</f>
        <v>610.45229342036293</v>
      </c>
      <c r="E132" s="45"/>
      <c r="F132" s="36">
        <f>'Actuarial balances'!F113</f>
        <v>76.561523488338651</v>
      </c>
      <c r="G132" s="36">
        <f>'Actuarial balances'!G113</f>
        <v>6037.4402645969967</v>
      </c>
      <c r="H132" s="36">
        <f>'Actuarial balances'!H113</f>
        <v>61045.229342036298</v>
      </c>
      <c r="I132" s="36"/>
      <c r="J132" s="36"/>
    </row>
    <row r="133" spans="1:14" x14ac:dyDescent="0.25">
      <c r="A133" s="20">
        <v>5</v>
      </c>
      <c r="B133" s="35">
        <f>'Actuarial balances'!B114</f>
        <v>0.97672366947258071</v>
      </c>
      <c r="C133" s="35">
        <f>'Actuarial balances'!C114</f>
        <v>48.758045580071233</v>
      </c>
      <c r="D133" s="35">
        <f>'Actuarial balances'!D114</f>
        <v>560.71752417081916</v>
      </c>
      <c r="E133" s="45"/>
      <c r="F133" s="36">
        <f>'Actuarial balances'!F114</f>
        <v>97.67236694725807</v>
      </c>
      <c r="G133" s="36">
        <f>'Actuarial balances'!G114</f>
        <v>4875.804558007123</v>
      </c>
      <c r="H133" s="36">
        <f>'Actuarial balances'!H114</f>
        <v>56071.752417081923</v>
      </c>
      <c r="I133" s="36"/>
      <c r="J133" s="36"/>
    </row>
    <row r="134" spans="1:14" x14ac:dyDescent="0.25">
      <c r="A134" s="20">
        <v>6</v>
      </c>
      <c r="B134" s="35">
        <f>'Actuarial balances'!B115</f>
        <v>0.78500453383914681</v>
      </c>
      <c r="C134" s="35">
        <f>'Actuarial balances'!C115</f>
        <v>39.195276374588609</v>
      </c>
      <c r="D134" s="35">
        <f>'Actuarial balances'!D115</f>
        <v>520.73724326239142</v>
      </c>
      <c r="E134" s="45"/>
      <c r="F134" s="36">
        <f>'Actuarial balances'!F115</f>
        <v>78.500453383914675</v>
      </c>
      <c r="G134" s="36">
        <f>'Actuarial balances'!G115</f>
        <v>3919.5276374588607</v>
      </c>
      <c r="H134" s="36">
        <f>'Actuarial balances'!H115</f>
        <v>52073.724326239149</v>
      </c>
      <c r="I134" s="36"/>
      <c r="J134" s="36"/>
    </row>
    <row r="135" spans="1:14" x14ac:dyDescent="0.25">
      <c r="A135" s="20">
        <v>7</v>
      </c>
      <c r="B135" s="35">
        <f>'Actuarial balances'!B116</f>
        <v>0.82276484435457842</v>
      </c>
      <c r="C135" s="35">
        <f>'Actuarial balances'!C116</f>
        <v>31.194868705082211</v>
      </c>
      <c r="D135" s="35">
        <f>'Actuarial balances'!D116</f>
        <v>488.71960971295465</v>
      </c>
      <c r="E135" s="45"/>
      <c r="F135" s="36">
        <f>'Actuarial balances'!F116</f>
        <v>82.276484435457846</v>
      </c>
      <c r="G135" s="36">
        <f>'Actuarial balances'!G116</f>
        <v>3119.4868705082213</v>
      </c>
      <c r="H135" s="36">
        <f>'Actuarial balances'!H116</f>
        <v>48871.96097129547</v>
      </c>
      <c r="I135" s="36"/>
      <c r="J135" s="36"/>
    </row>
    <row r="136" spans="1:14" x14ac:dyDescent="0.25">
      <c r="A136" s="20">
        <v>8</v>
      </c>
      <c r="B136" s="35">
        <f>'Actuarial balances'!B117</f>
        <v>0.86992090528905919</v>
      </c>
      <c r="C136" s="35">
        <f>'Actuarial balances'!C117</f>
        <v>24.392484440383281</v>
      </c>
      <c r="D136" s="35">
        <f>'Actuarial balances'!D117</f>
        <v>463.45720436728232</v>
      </c>
      <c r="E136" s="45"/>
      <c r="F136" s="36">
        <f>'Actuarial balances'!F117</f>
        <v>86.992090528905919</v>
      </c>
      <c r="G136" s="36">
        <f>'Actuarial balances'!G117</f>
        <v>2439.2484440383282</v>
      </c>
      <c r="H136" s="36">
        <f>'Actuarial balances'!H117</f>
        <v>46345.720436728239</v>
      </c>
      <c r="I136" s="36"/>
      <c r="J136" s="36"/>
    </row>
    <row r="137" spans="1:14" x14ac:dyDescent="0.25">
      <c r="A137" s="20">
        <v>9</v>
      </c>
      <c r="B137" s="35">
        <f>'Actuarial balances'!B118</f>
        <v>0.93154898077823745</v>
      </c>
      <c r="C137" s="35">
        <f>'Actuarial balances'!C118</f>
        <v>18.501026215460165</v>
      </c>
      <c r="D137" s="35">
        <f>'Actuarial balances'!D118</f>
        <v>444.0246291710439</v>
      </c>
      <c r="E137" s="45"/>
      <c r="F137" s="36">
        <f>'Actuarial balances'!F118</f>
        <v>93.154898077823745</v>
      </c>
      <c r="G137" s="36">
        <f>'Actuarial balances'!G118</f>
        <v>1850.1026215460165</v>
      </c>
      <c r="H137" s="36">
        <f>'Actuarial balances'!H118</f>
        <v>44402.4629171044</v>
      </c>
      <c r="I137" s="36"/>
      <c r="J137" s="36"/>
    </row>
    <row r="138" spans="1:14" x14ac:dyDescent="0.25">
      <c r="A138" s="20">
        <v>10</v>
      </c>
      <c r="B138" s="35">
        <f>'Actuarial balances'!B119</f>
        <v>0.99461516934313821</v>
      </c>
      <c r="C138" s="35">
        <f>'Actuarial balances'!C119</f>
        <v>443.03001400170075</v>
      </c>
      <c r="D138" s="35">
        <f>'Actuarial balances'!D119</f>
        <v>0</v>
      </c>
      <c r="E138" s="45"/>
      <c r="F138" s="36">
        <f>'Actuarial balances'!F119</f>
        <v>99.461516934313821</v>
      </c>
      <c r="G138" s="36">
        <f>'Actuarial balances'!G119</f>
        <v>44303.001400170077</v>
      </c>
      <c r="H138" s="36">
        <f>'Actuarial balances'!H119</f>
        <v>0</v>
      </c>
      <c r="I138" s="36"/>
      <c r="J138" s="36"/>
    </row>
    <row r="139" spans="1:14" x14ac:dyDescent="0.25">
      <c r="B139" s="35"/>
      <c r="C139" s="35"/>
      <c r="D139" s="35"/>
      <c r="E139" s="35"/>
      <c r="F139" s="35"/>
      <c r="G139" s="35"/>
      <c r="H139" s="35"/>
      <c r="I139" s="35"/>
      <c r="J139" s="35"/>
    </row>
    <row r="140" spans="1:14" x14ac:dyDescent="0.25">
      <c r="A140" s="3" t="s">
        <v>43</v>
      </c>
    </row>
    <row r="142" spans="1:14" x14ac:dyDescent="0.25">
      <c r="B142" s="38"/>
    </row>
    <row r="143" spans="1:14" x14ac:dyDescent="0.25">
      <c r="A143" s="20" t="s">
        <v>98</v>
      </c>
      <c r="C143" s="28"/>
      <c r="D143" s="28"/>
      <c r="G143" s="28"/>
      <c r="H143" s="28"/>
      <c r="I143" s="28"/>
      <c r="J143" s="28"/>
    </row>
    <row r="144" spans="1:14" x14ac:dyDescent="0.25">
      <c r="A144" s="28"/>
      <c r="B144" s="28"/>
      <c r="C144" s="28"/>
      <c r="D144" s="28"/>
      <c r="F144" s="28"/>
      <c r="G144" s="28"/>
      <c r="H144" s="28"/>
      <c r="I144" s="28"/>
      <c r="J144" s="28"/>
      <c r="K144" s="28"/>
      <c r="L144" s="28"/>
      <c r="M144" s="28"/>
      <c r="N144" s="28"/>
    </row>
    <row r="145" spans="1:14" x14ac:dyDescent="0.25">
      <c r="A145" s="2"/>
      <c r="B145" s="2"/>
      <c r="C145" s="2"/>
      <c r="D145" s="2"/>
      <c r="E145" s="2"/>
      <c r="F145" s="2"/>
      <c r="G145" s="2"/>
      <c r="H145" s="2"/>
      <c r="I145" s="2"/>
      <c r="J145" s="2"/>
      <c r="K145" s="2"/>
      <c r="L145" s="2"/>
      <c r="M145" s="2"/>
      <c r="N145" s="2"/>
    </row>
    <row r="146" spans="1:14" x14ac:dyDescent="0.25">
      <c r="A146" s="28"/>
    </row>
    <row r="147" spans="1:14" x14ac:dyDescent="0.25">
      <c r="A147" s="28"/>
      <c r="B147" s="39"/>
      <c r="C147" s="40"/>
      <c r="D147" s="41"/>
      <c r="E147" s="27"/>
      <c r="F147" s="27"/>
      <c r="G147" s="27"/>
      <c r="H147" s="27"/>
      <c r="I147" s="27"/>
      <c r="J147" s="27"/>
      <c r="K147" s="27"/>
      <c r="L147" s="27"/>
      <c r="M147" s="27"/>
      <c r="N147" s="27"/>
    </row>
    <row r="148" spans="1:14" x14ac:dyDescent="0.25">
      <c r="A148" s="28"/>
      <c r="B148" s="39"/>
      <c r="C148" s="40"/>
      <c r="D148" s="40"/>
      <c r="E148" s="27"/>
      <c r="F148" s="27"/>
      <c r="G148" s="27"/>
      <c r="H148" s="27"/>
      <c r="I148" s="27"/>
      <c r="J148" s="27"/>
      <c r="K148" s="27"/>
      <c r="L148" s="27"/>
      <c r="M148" s="27"/>
      <c r="N148" s="27"/>
    </row>
    <row r="149" spans="1:14" x14ac:dyDescent="0.25">
      <c r="A149" s="28"/>
      <c r="B149" s="39"/>
      <c r="C149" s="40"/>
      <c r="D149" s="40"/>
      <c r="E149" s="27"/>
      <c r="F149" s="27"/>
      <c r="G149" s="27"/>
      <c r="H149" s="27"/>
      <c r="I149" s="27"/>
      <c r="J149" s="27"/>
      <c r="K149" s="27"/>
      <c r="L149" s="27"/>
      <c r="M149" s="27"/>
      <c r="N149" s="27"/>
    </row>
    <row r="150" spans="1:14" x14ac:dyDescent="0.25">
      <c r="A150" s="28"/>
      <c r="B150" s="39"/>
      <c r="C150" s="40"/>
      <c r="D150" s="40"/>
      <c r="E150" s="27"/>
      <c r="F150" s="27"/>
      <c r="G150" s="27"/>
      <c r="H150" s="27"/>
      <c r="I150" s="27"/>
      <c r="J150" s="27"/>
      <c r="K150" s="27"/>
      <c r="L150" s="27"/>
      <c r="M150" s="27"/>
      <c r="N150" s="27"/>
    </row>
    <row r="151" spans="1:14" x14ac:dyDescent="0.25">
      <c r="A151" s="28"/>
      <c r="B151" s="39"/>
      <c r="C151" s="40"/>
      <c r="D151" s="40"/>
      <c r="E151" s="27"/>
      <c r="F151" s="27"/>
      <c r="G151" s="27"/>
      <c r="H151" s="27"/>
      <c r="I151" s="27"/>
      <c r="J151" s="27"/>
      <c r="K151" s="27"/>
      <c r="L151" s="27"/>
      <c r="M151" s="27"/>
      <c r="N151" s="27"/>
    </row>
    <row r="152" spans="1:14" x14ac:dyDescent="0.25">
      <c r="A152" s="28"/>
      <c r="B152" s="39"/>
      <c r="C152" s="40"/>
      <c r="D152" s="40"/>
      <c r="E152" s="27"/>
      <c r="F152" s="27"/>
      <c r="G152" s="27"/>
      <c r="H152" s="27"/>
      <c r="I152" s="27"/>
      <c r="J152" s="27"/>
      <c r="K152" s="27"/>
      <c r="L152" s="27"/>
      <c r="M152" s="27"/>
      <c r="N152" s="27"/>
    </row>
    <row r="153" spans="1:14" x14ac:dyDescent="0.25">
      <c r="A153" s="28"/>
      <c r="B153" s="39"/>
      <c r="C153" s="40"/>
      <c r="D153" s="40"/>
      <c r="E153" s="27"/>
      <c r="F153" s="27"/>
      <c r="G153" s="27"/>
      <c r="H153" s="27"/>
      <c r="I153" s="27"/>
      <c r="J153" s="27"/>
      <c r="K153" s="27"/>
      <c r="L153" s="27"/>
      <c r="M153" s="27"/>
      <c r="N153" s="27"/>
    </row>
    <row r="154" spans="1:14" x14ac:dyDescent="0.25">
      <c r="A154" s="28"/>
      <c r="B154" s="39"/>
      <c r="C154" s="40"/>
      <c r="D154" s="40"/>
      <c r="E154" s="27"/>
      <c r="F154" s="27"/>
      <c r="G154" s="27"/>
      <c r="H154" s="27"/>
      <c r="I154" s="27"/>
      <c r="J154" s="27"/>
      <c r="K154" s="27"/>
      <c r="L154" s="27"/>
      <c r="M154" s="27"/>
      <c r="N154" s="27"/>
    </row>
    <row r="155" spans="1:14" x14ac:dyDescent="0.25">
      <c r="A155" s="28"/>
      <c r="B155" s="39"/>
      <c r="C155" s="40"/>
      <c r="D155" s="40"/>
      <c r="E155" s="27"/>
      <c r="F155" s="27"/>
      <c r="G155" s="27"/>
      <c r="H155" s="27"/>
      <c r="I155" s="27"/>
      <c r="J155" s="27"/>
      <c r="K155" s="27"/>
      <c r="L155" s="27"/>
      <c r="M155" s="27"/>
      <c r="N155" s="27"/>
    </row>
    <row r="156" spans="1:14" x14ac:dyDescent="0.25">
      <c r="A156" s="28"/>
      <c r="B156" s="39"/>
      <c r="C156" s="40"/>
      <c r="D156" s="40"/>
      <c r="E156" s="27"/>
      <c r="F156" s="27"/>
      <c r="G156" s="27"/>
      <c r="H156" s="27"/>
      <c r="I156" s="27"/>
      <c r="J156" s="27"/>
      <c r="K156" s="27"/>
      <c r="L156" s="27"/>
      <c r="M156" s="27"/>
      <c r="N156" s="27"/>
    </row>
    <row r="157" spans="1:14" x14ac:dyDescent="0.25">
      <c r="B157" s="35"/>
      <c r="C157" s="35"/>
      <c r="D157" s="35"/>
      <c r="F157" s="27"/>
      <c r="G157" s="35"/>
      <c r="H157" s="35"/>
      <c r="I157" s="35"/>
      <c r="J157" s="35"/>
    </row>
    <row r="158" spans="1:14" x14ac:dyDescent="0.25">
      <c r="A158" s="28"/>
      <c r="B158" s="35"/>
      <c r="C158" s="35"/>
      <c r="D158" s="35"/>
      <c r="F158" s="27"/>
      <c r="G158" s="35"/>
      <c r="H158" s="27"/>
      <c r="I158" s="27"/>
      <c r="J158" s="27"/>
      <c r="N158" s="42"/>
    </row>
    <row r="159" spans="1:14" x14ac:dyDescent="0.25">
      <c r="B159" s="35"/>
      <c r="C159" s="35"/>
      <c r="D159" s="35"/>
      <c r="G159" s="35"/>
      <c r="H159" s="31"/>
      <c r="I159" s="31"/>
      <c r="J159" s="26"/>
      <c r="K159" s="35"/>
      <c r="L159" s="35"/>
      <c r="N159" s="31"/>
    </row>
    <row r="160" spans="1:14" x14ac:dyDescent="0.25">
      <c r="B160" s="35"/>
      <c r="C160" s="35"/>
      <c r="D160" s="35"/>
      <c r="E160" s="35"/>
      <c r="F160" s="35"/>
      <c r="G160" s="35"/>
      <c r="H160" s="35"/>
      <c r="I160" s="35"/>
      <c r="J160" s="35"/>
    </row>
    <row r="161" spans="1:15" x14ac:dyDescent="0.25">
      <c r="B161" s="35"/>
      <c r="C161" s="35"/>
      <c r="D161" s="35"/>
      <c r="E161" s="35"/>
      <c r="F161" s="37"/>
      <c r="G161" s="35"/>
      <c r="H161" s="35"/>
      <c r="I161" s="35"/>
      <c r="J161" s="35"/>
    </row>
    <row r="162" spans="1:15" x14ac:dyDescent="0.25">
      <c r="B162" s="35"/>
      <c r="C162" s="35"/>
      <c r="D162" s="35"/>
      <c r="E162" s="35"/>
      <c r="F162" s="35"/>
      <c r="G162" s="35"/>
      <c r="H162" s="35"/>
      <c r="I162" s="35"/>
      <c r="J162" s="35"/>
    </row>
    <row r="163" spans="1:15" x14ac:dyDescent="0.25">
      <c r="A163" s="3" t="s">
        <v>94</v>
      </c>
      <c r="B163" s="35"/>
      <c r="C163" s="35"/>
      <c r="D163" s="35"/>
      <c r="E163" s="35"/>
      <c r="F163" s="35"/>
      <c r="G163" s="35"/>
      <c r="H163" s="35"/>
      <c r="I163" s="35"/>
      <c r="J163" s="35"/>
    </row>
    <row r="164" spans="1:15" x14ac:dyDescent="0.25">
      <c r="B164" s="35"/>
      <c r="C164" s="35"/>
      <c r="D164" s="35"/>
      <c r="E164" s="35"/>
      <c r="F164" s="35"/>
      <c r="G164" s="35"/>
      <c r="H164" s="35"/>
      <c r="I164" s="35"/>
      <c r="J164" s="35"/>
    </row>
    <row r="165" spans="1:15" x14ac:dyDescent="0.25">
      <c r="C165" s="28"/>
      <c r="D165" s="28"/>
      <c r="G165" s="28"/>
      <c r="H165" s="28"/>
      <c r="I165" s="28"/>
      <c r="J165" s="28"/>
    </row>
    <row r="166" spans="1:15" x14ac:dyDescent="0.25">
      <c r="A166" s="28" t="s">
        <v>0</v>
      </c>
      <c r="B166" s="28" t="s">
        <v>95</v>
      </c>
      <c r="C166" s="28" t="s">
        <v>95</v>
      </c>
      <c r="D166" s="28" t="s">
        <v>96</v>
      </c>
      <c r="E166" s="28" t="s">
        <v>97</v>
      </c>
      <c r="F166" s="28"/>
      <c r="H166" s="28"/>
      <c r="I166" s="28"/>
      <c r="J166" s="28"/>
      <c r="K166" s="28"/>
      <c r="L166" s="28"/>
      <c r="M166" s="28"/>
      <c r="O166" s="28"/>
    </row>
    <row r="167" spans="1:15" x14ac:dyDescent="0.25">
      <c r="A167" s="2" t="s">
        <v>1</v>
      </c>
      <c r="B167" s="2" t="s">
        <v>39</v>
      </c>
      <c r="C167" s="2" t="s">
        <v>42</v>
      </c>
      <c r="D167" s="2" t="s">
        <v>42</v>
      </c>
      <c r="E167" s="2" t="s">
        <v>39</v>
      </c>
      <c r="F167" s="2"/>
      <c r="H167" s="2"/>
      <c r="I167" s="2"/>
      <c r="J167" s="2"/>
      <c r="K167" s="2"/>
      <c r="L167" s="2"/>
      <c r="M167" s="2"/>
      <c r="O167" s="2"/>
    </row>
    <row r="168" spans="1:15" x14ac:dyDescent="0.25">
      <c r="A168" s="28"/>
      <c r="B168" s="42">
        <f>E72</f>
        <v>0</v>
      </c>
      <c r="C168" s="36">
        <f>D72</f>
        <v>100000</v>
      </c>
      <c r="D168" s="36">
        <f>H128</f>
        <v>100000</v>
      </c>
      <c r="E168" s="27">
        <f>B168*D168/C168</f>
        <v>0</v>
      </c>
      <c r="H168" s="28"/>
      <c r="I168" s="27"/>
      <c r="J168" s="27"/>
      <c r="K168" s="27"/>
      <c r="L168" s="27"/>
    </row>
    <row r="169" spans="1:15" x14ac:dyDescent="0.25">
      <c r="A169" s="28">
        <v>1</v>
      </c>
      <c r="B169" s="42">
        <f t="shared" ref="B169:B178" si="39">E73</f>
        <v>7891416.8199502639</v>
      </c>
      <c r="C169" s="36">
        <f t="shared" ref="C169:C178" si="40">D73</f>
        <v>84946.45</v>
      </c>
      <c r="D169" s="36">
        <f t="shared" ref="D169:D178" si="41">H129</f>
        <v>84946.45</v>
      </c>
      <c r="E169" s="27">
        <f t="shared" ref="E169:E177" si="42">B169*D169/C169</f>
        <v>7891416.8199502639</v>
      </c>
      <c r="F169" s="27"/>
      <c r="H169" s="28"/>
      <c r="I169" s="27"/>
      <c r="J169" s="27"/>
      <c r="K169" s="27"/>
      <c r="L169" s="27"/>
      <c r="M169" s="27"/>
      <c r="N169" s="27"/>
    </row>
    <row r="170" spans="1:15" x14ac:dyDescent="0.25">
      <c r="A170" s="28">
        <v>2</v>
      </c>
      <c r="B170" s="42">
        <f t="shared" si="39"/>
        <v>13874623.374817127</v>
      </c>
      <c r="C170" s="36">
        <f t="shared" si="40"/>
        <v>74695.316285480003</v>
      </c>
      <c r="D170" s="36">
        <f t="shared" si="41"/>
        <v>74695.316285480003</v>
      </c>
      <c r="E170" s="27">
        <f t="shared" si="42"/>
        <v>13874623.374817127</v>
      </c>
      <c r="F170" s="27"/>
      <c r="H170" s="28"/>
      <c r="I170" s="27"/>
      <c r="J170" s="27"/>
      <c r="K170" s="27"/>
      <c r="L170" s="27"/>
      <c r="M170" s="27"/>
      <c r="N170" s="27"/>
    </row>
    <row r="171" spans="1:15" x14ac:dyDescent="0.25">
      <c r="A171" s="28">
        <v>3</v>
      </c>
      <c r="B171" s="42">
        <f t="shared" si="39"/>
        <v>18719424.955942657</v>
      </c>
      <c r="C171" s="36">
        <f t="shared" si="40"/>
        <v>67159.23113012164</v>
      </c>
      <c r="D171" s="36">
        <f t="shared" si="41"/>
        <v>67159.23113012164</v>
      </c>
      <c r="E171" s="27">
        <f t="shared" si="42"/>
        <v>18719424.955942657</v>
      </c>
      <c r="F171" s="27"/>
      <c r="H171" s="28"/>
      <c r="I171" s="27"/>
      <c r="J171" s="27"/>
      <c r="K171" s="27"/>
      <c r="L171" s="27"/>
      <c r="M171" s="27"/>
      <c r="N171" s="27"/>
    </row>
    <row r="172" spans="1:15" x14ac:dyDescent="0.25">
      <c r="A172" s="28">
        <v>4</v>
      </c>
      <c r="B172" s="42">
        <f t="shared" si="39"/>
        <v>22782876.62103143</v>
      </c>
      <c r="C172" s="36">
        <f t="shared" si="40"/>
        <v>61045.229342036298</v>
      </c>
      <c r="D172" s="36">
        <f t="shared" si="41"/>
        <v>61045.229342036298</v>
      </c>
      <c r="E172" s="27">
        <f t="shared" si="42"/>
        <v>22782876.62103143</v>
      </c>
      <c r="F172" s="27"/>
      <c r="H172" s="28"/>
      <c r="I172" s="27"/>
      <c r="J172" s="27"/>
      <c r="K172" s="27"/>
      <c r="L172" s="27"/>
      <c r="M172" s="27"/>
      <c r="N172" s="27"/>
    </row>
    <row r="173" spans="1:15" x14ac:dyDescent="0.25">
      <c r="A173" s="28">
        <v>5</v>
      </c>
      <c r="B173" s="42">
        <f t="shared" si="39"/>
        <v>26347544.177144613</v>
      </c>
      <c r="C173" s="36">
        <f t="shared" si="40"/>
        <v>56089.724132600219</v>
      </c>
      <c r="D173" s="36">
        <f t="shared" si="41"/>
        <v>56071.752417081923</v>
      </c>
      <c r="E173" s="27">
        <f t="shared" si="42"/>
        <v>26339102.157222427</v>
      </c>
      <c r="F173" s="27"/>
      <c r="H173" s="28"/>
      <c r="I173" s="27"/>
      <c r="J173" s="27"/>
      <c r="K173" s="27"/>
      <c r="L173" s="27"/>
      <c r="M173" s="27"/>
      <c r="N173" s="27"/>
    </row>
    <row r="174" spans="1:15" x14ac:dyDescent="0.25">
      <c r="A174" s="28">
        <v>6</v>
      </c>
      <c r="B174" s="42">
        <f t="shared" si="39"/>
        <v>29632093.083167925</v>
      </c>
      <c r="C174" s="36">
        <f t="shared" si="40"/>
        <v>52090.414622497556</v>
      </c>
      <c r="D174" s="36">
        <f t="shared" si="41"/>
        <v>52073.724326239149</v>
      </c>
      <c r="E174" s="27">
        <f t="shared" si="42"/>
        <v>29622598.660520326</v>
      </c>
      <c r="F174" s="27"/>
      <c r="H174" s="28"/>
      <c r="I174" s="27"/>
      <c r="J174" s="27"/>
      <c r="K174" s="27"/>
      <c r="L174" s="27"/>
      <c r="M174" s="27"/>
      <c r="N174" s="27"/>
    </row>
    <row r="175" spans="1:15" x14ac:dyDescent="0.25">
      <c r="A175" s="28">
        <v>7</v>
      </c>
      <c r="B175" s="42">
        <f t="shared" si="39"/>
        <v>32806523.217442393</v>
      </c>
      <c r="C175" s="36">
        <f t="shared" si="40"/>
        <v>48887.625061350373</v>
      </c>
      <c r="D175" s="36">
        <f t="shared" si="41"/>
        <v>48871.96097129547</v>
      </c>
      <c r="E175" s="27">
        <f t="shared" si="42"/>
        <v>32796011.675238792</v>
      </c>
      <c r="F175" s="27"/>
      <c r="H175" s="28"/>
      <c r="I175" s="27"/>
      <c r="J175" s="27"/>
      <c r="K175" s="27"/>
      <c r="L175" s="27"/>
      <c r="M175" s="27"/>
      <c r="N175" s="27"/>
    </row>
    <row r="176" spans="1:15" x14ac:dyDescent="0.25">
      <c r="A176" s="28">
        <v>8</v>
      </c>
      <c r="B176" s="42">
        <f t="shared" si="39"/>
        <v>36013666.747336388</v>
      </c>
      <c r="C176" s="36">
        <f t="shared" si="40"/>
        <v>46360.574834304112</v>
      </c>
      <c r="D176" s="36">
        <f t="shared" si="41"/>
        <v>46345.720436728239</v>
      </c>
      <c r="E176" s="27">
        <f t="shared" si="42"/>
        <v>36002127.60387361</v>
      </c>
      <c r="F176" s="27"/>
      <c r="H176" s="28"/>
      <c r="I176" s="27"/>
      <c r="J176" s="27"/>
      <c r="K176" s="27"/>
      <c r="L176" s="27"/>
      <c r="M176" s="27"/>
      <c r="N176" s="27"/>
    </row>
    <row r="177" spans="1:14" x14ac:dyDescent="0.25">
      <c r="A177" s="28">
        <v>9</v>
      </c>
      <c r="B177" s="42">
        <f t="shared" si="39"/>
        <v>39377384.0376672</v>
      </c>
      <c r="C177" s="36">
        <f t="shared" si="40"/>
        <v>44416.694475731674</v>
      </c>
      <c r="D177" s="36">
        <f t="shared" si="41"/>
        <v>44402.4629171044</v>
      </c>
      <c r="E177" s="27">
        <f t="shared" si="42"/>
        <v>39364767.125127099</v>
      </c>
      <c r="F177" s="27"/>
      <c r="H177" s="28"/>
      <c r="I177" s="27"/>
      <c r="J177" s="27"/>
      <c r="K177" s="27"/>
      <c r="L177" s="27"/>
      <c r="M177" s="27"/>
      <c r="N177" s="27"/>
    </row>
    <row r="178" spans="1:14" x14ac:dyDescent="0.25">
      <c r="A178" s="28">
        <v>10</v>
      </c>
      <c r="B178" s="42">
        <f t="shared" si="39"/>
        <v>0</v>
      </c>
      <c r="C178" s="36">
        <f t="shared" si="40"/>
        <v>0</v>
      </c>
      <c r="D178" s="36">
        <f t="shared" si="41"/>
        <v>0</v>
      </c>
      <c r="E178" s="27">
        <v>0</v>
      </c>
      <c r="F178" s="27"/>
      <c r="H178" s="28"/>
      <c r="I178" s="27"/>
      <c r="J178" s="27"/>
      <c r="K178" s="27"/>
      <c r="L178" s="27"/>
      <c r="M178" s="27"/>
      <c r="N178" s="27"/>
    </row>
    <row r="179" spans="1:14" x14ac:dyDescent="0.25">
      <c r="B179" s="35"/>
      <c r="C179" s="35"/>
      <c r="D179" s="35"/>
      <c r="E179" s="35"/>
      <c r="F179" s="35"/>
      <c r="G179" s="35"/>
      <c r="H179" s="35"/>
      <c r="I179" s="35"/>
      <c r="J179" s="35"/>
    </row>
    <row r="180" spans="1:14" x14ac:dyDescent="0.25">
      <c r="A180" s="3" t="s">
        <v>9</v>
      </c>
    </row>
    <row r="181" spans="1:14" x14ac:dyDescent="0.25">
      <c r="A181" s="3"/>
    </row>
    <row r="182" spans="1:14" x14ac:dyDescent="0.25">
      <c r="A182" s="3"/>
      <c r="G182" s="28"/>
    </row>
    <row r="183" spans="1:14" x14ac:dyDescent="0.25">
      <c r="B183" s="28"/>
      <c r="C183" s="28"/>
      <c r="D183" s="28"/>
      <c r="F183" s="28"/>
      <c r="G183" s="28"/>
      <c r="H183" s="28"/>
    </row>
    <row r="184" spans="1:14" x14ac:dyDescent="0.25">
      <c r="A184" s="28" t="s">
        <v>0</v>
      </c>
      <c r="B184" s="28" t="s">
        <v>95</v>
      </c>
      <c r="C184" s="28" t="s">
        <v>95</v>
      </c>
      <c r="D184" s="28" t="s">
        <v>96</v>
      </c>
      <c r="E184" s="28" t="s">
        <v>97</v>
      </c>
      <c r="F184" s="28"/>
      <c r="G184" s="28"/>
      <c r="H184" s="28"/>
    </row>
    <row r="185" spans="1:14" x14ac:dyDescent="0.25">
      <c r="A185" s="2" t="s">
        <v>1</v>
      </c>
      <c r="B185" s="2" t="s">
        <v>9</v>
      </c>
      <c r="C185" s="2" t="s">
        <v>42</v>
      </c>
      <c r="D185" s="2" t="s">
        <v>42</v>
      </c>
      <c r="E185" s="2" t="s">
        <v>9</v>
      </c>
      <c r="F185" s="2"/>
      <c r="G185" s="2"/>
      <c r="H185" s="2"/>
    </row>
    <row r="186" spans="1:14" x14ac:dyDescent="0.25">
      <c r="B186" s="42">
        <f>E110</f>
        <v>0</v>
      </c>
      <c r="C186" s="36">
        <f>C168</f>
        <v>100000</v>
      </c>
      <c r="D186" s="36">
        <f>D168</f>
        <v>100000</v>
      </c>
      <c r="E186" s="27">
        <f>B186*D186/C186</f>
        <v>0</v>
      </c>
    </row>
    <row r="187" spans="1:14" x14ac:dyDescent="0.25">
      <c r="A187" s="20">
        <v>1</v>
      </c>
      <c r="B187" s="42">
        <f t="shared" ref="B187:B196" si="43">E111</f>
        <v>5423708.5843566284</v>
      </c>
      <c r="C187" s="36">
        <f t="shared" ref="C187:D187" si="44">C169</f>
        <v>84946.45</v>
      </c>
      <c r="D187" s="36">
        <f t="shared" si="44"/>
        <v>84946.45</v>
      </c>
      <c r="E187" s="27">
        <f t="shared" ref="E187:E195" si="45">B187*D187/C187</f>
        <v>5423708.5843566284</v>
      </c>
      <c r="G187" s="31"/>
      <c r="H187" s="36"/>
    </row>
    <row r="188" spans="1:14" x14ac:dyDescent="0.25">
      <c r="A188" s="20">
        <v>2</v>
      </c>
      <c r="B188" s="42">
        <f t="shared" si="43"/>
        <v>4603231.930389802</v>
      </c>
      <c r="C188" s="36">
        <f t="shared" ref="C188:D188" si="46">C170</f>
        <v>74695.316285480003</v>
      </c>
      <c r="D188" s="36">
        <f t="shared" si="46"/>
        <v>74695.316285480003</v>
      </c>
      <c r="E188" s="27">
        <f t="shared" si="45"/>
        <v>4603231.930389802</v>
      </c>
      <c r="G188" s="31"/>
      <c r="H188" s="36"/>
    </row>
    <row r="189" spans="1:14" x14ac:dyDescent="0.25">
      <c r="A189" s="20">
        <v>3</v>
      </c>
      <c r="B189" s="42">
        <f t="shared" si="43"/>
        <v>3881651.2157183746</v>
      </c>
      <c r="C189" s="36">
        <f t="shared" ref="C189:D189" si="47">C171</f>
        <v>67159.23113012164</v>
      </c>
      <c r="D189" s="36">
        <f t="shared" si="47"/>
        <v>67159.23113012164</v>
      </c>
      <c r="E189" s="27">
        <f t="shared" si="45"/>
        <v>3881651.2157183746</v>
      </c>
      <c r="G189" s="31"/>
      <c r="H189" s="36"/>
    </row>
    <row r="190" spans="1:14" x14ac:dyDescent="0.25">
      <c r="A190" s="20">
        <v>4</v>
      </c>
      <c r="B190" s="42">
        <f t="shared" si="43"/>
        <v>3226683.3709583422</v>
      </c>
      <c r="C190" s="36">
        <f t="shared" ref="C190:D190" si="48">C172</f>
        <v>61045.229342036298</v>
      </c>
      <c r="D190" s="36">
        <f t="shared" si="48"/>
        <v>61045.229342036298</v>
      </c>
      <c r="E190" s="27">
        <f t="shared" si="45"/>
        <v>3226683.3709583422</v>
      </c>
      <c r="G190" s="31"/>
      <c r="H190" s="36"/>
    </row>
    <row r="191" spans="1:14" x14ac:dyDescent="0.25">
      <c r="A191" s="20">
        <v>5</v>
      </c>
      <c r="B191" s="42">
        <f t="shared" si="43"/>
        <v>2623132.2415056364</v>
      </c>
      <c r="C191" s="36">
        <f t="shared" ref="C191:D191" si="49">C173</f>
        <v>56089.724132600219</v>
      </c>
      <c r="D191" s="36">
        <f t="shared" si="49"/>
        <v>56071.752417081923</v>
      </c>
      <c r="E191" s="27">
        <f t="shared" si="45"/>
        <v>2622291.7633763487</v>
      </c>
      <c r="F191" s="26"/>
      <c r="G191" s="31"/>
      <c r="H191" s="36"/>
      <c r="J191" s="46"/>
      <c r="K191" s="46"/>
      <c r="L191" s="36"/>
    </row>
    <row r="192" spans="1:14" x14ac:dyDescent="0.25">
      <c r="A192" s="20">
        <v>6</v>
      </c>
      <c r="B192" s="42">
        <f t="shared" si="43"/>
        <v>2058476.8935832004</v>
      </c>
      <c r="C192" s="36">
        <f t="shared" ref="C192:D192" si="50">C174</f>
        <v>52090.414622497556</v>
      </c>
      <c r="D192" s="36">
        <f t="shared" si="50"/>
        <v>52073.724326239149</v>
      </c>
      <c r="E192" s="27">
        <f t="shared" si="45"/>
        <v>2057817.3367445006</v>
      </c>
      <c r="G192" s="31"/>
      <c r="H192" s="36"/>
    </row>
    <row r="193" spans="1:11" x14ac:dyDescent="0.25">
      <c r="A193" s="20">
        <v>7</v>
      </c>
      <c r="B193" s="42">
        <f t="shared" si="43"/>
        <v>1522230.8608388151</v>
      </c>
      <c r="C193" s="36">
        <f t="shared" ref="C193:D193" si="51">C175</f>
        <v>48887.625061350373</v>
      </c>
      <c r="D193" s="36">
        <f t="shared" si="51"/>
        <v>48871.96097129547</v>
      </c>
      <c r="E193" s="27">
        <f t="shared" si="45"/>
        <v>1521743.122658476</v>
      </c>
      <c r="G193" s="31"/>
      <c r="H193" s="36"/>
      <c r="K193" s="42"/>
    </row>
    <row r="194" spans="1:11" x14ac:dyDescent="0.25">
      <c r="A194" s="20">
        <v>8</v>
      </c>
      <c r="B194" s="42">
        <f t="shared" si="43"/>
        <v>1005459.5069409481</v>
      </c>
      <c r="C194" s="36">
        <f t="shared" ref="C194:D194" si="52">C176</f>
        <v>46360.574834304112</v>
      </c>
      <c r="D194" s="36">
        <f t="shared" si="52"/>
        <v>46345.720436728239</v>
      </c>
      <c r="E194" s="27">
        <f t="shared" si="45"/>
        <v>1005137.347534687</v>
      </c>
      <c r="G194" s="31"/>
      <c r="H194" s="36"/>
    </row>
    <row r="195" spans="1:11" x14ac:dyDescent="0.25">
      <c r="A195" s="20">
        <v>9</v>
      </c>
      <c r="B195" s="42">
        <f t="shared" si="43"/>
        <v>500369.62059265521</v>
      </c>
      <c r="C195" s="36">
        <f t="shared" ref="C195:D195" si="53">C177</f>
        <v>44416.694475731674</v>
      </c>
      <c r="D195" s="36">
        <f t="shared" si="53"/>
        <v>44402.4629171044</v>
      </c>
      <c r="E195" s="27">
        <f t="shared" si="45"/>
        <v>500209.29709999502</v>
      </c>
      <c r="G195" s="31"/>
      <c r="H195" s="36"/>
    </row>
    <row r="196" spans="1:11" x14ac:dyDescent="0.25">
      <c r="A196" s="20">
        <v>10</v>
      </c>
      <c r="B196" s="42">
        <f t="shared" si="43"/>
        <v>0</v>
      </c>
      <c r="C196" s="36">
        <f t="shared" ref="C196:D196" si="54">C178</f>
        <v>0</v>
      </c>
      <c r="D196" s="36">
        <f t="shared" si="54"/>
        <v>0</v>
      </c>
      <c r="E196" s="27">
        <v>0</v>
      </c>
      <c r="G196" s="31"/>
      <c r="H196" s="36"/>
    </row>
    <row r="197" spans="1:11" x14ac:dyDescent="0.25">
      <c r="B197" s="36"/>
      <c r="C197" s="36"/>
      <c r="D197" s="36"/>
      <c r="E197" s="36"/>
      <c r="F197" s="31"/>
      <c r="G197" s="36"/>
    </row>
    <row r="198" spans="1:11" x14ac:dyDescent="0.25">
      <c r="A198" s="28"/>
      <c r="B198" s="36"/>
      <c r="C198" s="36"/>
      <c r="D198" s="36"/>
      <c r="E198" s="36"/>
      <c r="F198" s="31"/>
      <c r="G198" s="36"/>
    </row>
    <row r="199" spans="1:11" x14ac:dyDescent="0.25">
      <c r="B199" s="36"/>
      <c r="C199" s="36"/>
      <c r="D199" s="36"/>
      <c r="E199" s="36"/>
    </row>
    <row r="200" spans="1:11" x14ac:dyDescent="0.25">
      <c r="A200" s="3" t="s">
        <v>29</v>
      </c>
      <c r="E200" s="36"/>
      <c r="G200" s="36"/>
    </row>
    <row r="201" spans="1:11" x14ac:dyDescent="0.25">
      <c r="A201" s="3"/>
    </row>
    <row r="202" spans="1:11" x14ac:dyDescent="0.25">
      <c r="B202" s="28"/>
      <c r="C202" s="28"/>
      <c r="D202" s="28"/>
    </row>
    <row r="203" spans="1:11" x14ac:dyDescent="0.25">
      <c r="A203" s="20" t="s">
        <v>98</v>
      </c>
      <c r="B203" s="2"/>
      <c r="C203" s="2"/>
      <c r="D203" s="2"/>
      <c r="E203" s="5"/>
    </row>
    <row r="204" spans="1:11" x14ac:dyDescent="0.25">
      <c r="D204" s="36"/>
    </row>
    <row r="205" spans="1:11" x14ac:dyDescent="0.25">
      <c r="B205" s="36"/>
      <c r="C205" s="36"/>
      <c r="D205" s="36"/>
    </row>
    <row r="206" spans="1:11" x14ac:dyDescent="0.25">
      <c r="B206" s="36"/>
      <c r="C206" s="36"/>
      <c r="D206" s="36"/>
    </row>
    <row r="207" spans="1:11" x14ac:dyDescent="0.25">
      <c r="B207" s="36"/>
      <c r="C207" s="36"/>
      <c r="D207" s="36"/>
    </row>
    <row r="208" spans="1:11" x14ac:dyDescent="0.25">
      <c r="B208" s="36"/>
      <c r="C208" s="36"/>
      <c r="D208" s="36"/>
    </row>
    <row r="209" spans="1:11" x14ac:dyDescent="0.25">
      <c r="B209" s="36"/>
      <c r="C209" s="36"/>
      <c r="D209" s="36"/>
    </row>
    <row r="210" spans="1:11" x14ac:dyDescent="0.25">
      <c r="B210" s="36"/>
      <c r="C210" s="36"/>
      <c r="D210" s="36"/>
    </row>
    <row r="211" spans="1:11" x14ac:dyDescent="0.25">
      <c r="B211" s="36"/>
      <c r="C211" s="36"/>
      <c r="D211" s="36"/>
    </row>
    <row r="212" spans="1:11" x14ac:dyDescent="0.25">
      <c r="B212" s="36"/>
      <c r="C212" s="36"/>
      <c r="D212" s="36"/>
    </row>
    <row r="213" spans="1:11" x14ac:dyDescent="0.25">
      <c r="B213" s="36"/>
      <c r="C213" s="36"/>
      <c r="D213" s="36"/>
    </row>
    <row r="214" spans="1:11" x14ac:dyDescent="0.25">
      <c r="B214" s="36"/>
      <c r="C214" s="36"/>
      <c r="D214" s="36"/>
    </row>
    <row r="216" spans="1:11" x14ac:dyDescent="0.25">
      <c r="A216" s="4" t="s">
        <v>63</v>
      </c>
    </row>
    <row r="218" spans="1:11" x14ac:dyDescent="0.25">
      <c r="A218" s="3" t="s">
        <v>25</v>
      </c>
      <c r="B218" s="3"/>
      <c r="C218" s="3"/>
      <c r="D218" s="3"/>
    </row>
    <row r="220" spans="1:11" x14ac:dyDescent="0.25">
      <c r="A220" s="28" t="s">
        <v>0</v>
      </c>
      <c r="B220" s="28" t="s">
        <v>50</v>
      </c>
      <c r="C220" s="28" t="s">
        <v>50</v>
      </c>
      <c r="D220" s="28" t="s">
        <v>22</v>
      </c>
      <c r="F220" s="28" t="s">
        <v>51</v>
      </c>
      <c r="G220" s="28" t="s">
        <v>51</v>
      </c>
      <c r="H220" s="28" t="s">
        <v>42</v>
      </c>
      <c r="I220" s="28"/>
      <c r="J220" s="28"/>
    </row>
    <row r="221" spans="1:11" x14ac:dyDescent="0.25">
      <c r="A221" s="2" t="s">
        <v>1</v>
      </c>
      <c r="B221" s="2" t="s">
        <v>23</v>
      </c>
      <c r="C221" s="2" t="s">
        <v>24</v>
      </c>
      <c r="D221" s="2" t="s">
        <v>26</v>
      </c>
      <c r="F221" s="2" t="s">
        <v>23</v>
      </c>
      <c r="G221" s="2" t="s">
        <v>24</v>
      </c>
      <c r="H221" s="2" t="s">
        <v>26</v>
      </c>
      <c r="I221" s="2"/>
      <c r="J221" s="2"/>
    </row>
    <row r="222" spans="1:11" x14ac:dyDescent="0.25">
      <c r="B222" s="35"/>
      <c r="C222" s="35"/>
      <c r="D222" s="35">
        <f>'Actuarial balances'!D203</f>
        <v>1000</v>
      </c>
      <c r="H222" s="36">
        <f>P15</f>
        <v>100000</v>
      </c>
      <c r="I222" s="36"/>
      <c r="J222" s="36"/>
    </row>
    <row r="223" spans="1:11" x14ac:dyDescent="0.25">
      <c r="A223" s="20">
        <v>1</v>
      </c>
      <c r="B223" s="35">
        <f>'Actuarial balances'!B204</f>
        <v>0.63</v>
      </c>
      <c r="C223" s="35">
        <f>'Actuarial balances'!C204</f>
        <v>149.90549999999999</v>
      </c>
      <c r="D223" s="35">
        <f>'Actuarial balances'!D204</f>
        <v>849.46450000000004</v>
      </c>
      <c r="E223" s="45"/>
      <c r="F223" s="36">
        <f>H$222/D$222*B223</f>
        <v>63</v>
      </c>
      <c r="G223" s="50">
        <f>H$222/D$222*C223</f>
        <v>14990.55</v>
      </c>
      <c r="H223" s="36">
        <f t="shared" ref="H223:H232" si="55">H222-F223-G223</f>
        <v>84946.45</v>
      </c>
      <c r="I223" s="36"/>
      <c r="J223" s="36"/>
      <c r="K223" s="36"/>
    </row>
    <row r="224" spans="1:11" x14ac:dyDescent="0.25">
      <c r="A224" s="20">
        <v>2</v>
      </c>
      <c r="B224" s="35">
        <f>'Actuarial balances'!B205</f>
        <v>0.65408766500000004</v>
      </c>
      <c r="C224" s="35">
        <f>'Actuarial balances'!C205</f>
        <v>101.8572494802</v>
      </c>
      <c r="D224" s="35">
        <f>'Actuarial balances'!D205</f>
        <v>746.95316285479998</v>
      </c>
      <c r="E224" s="45"/>
      <c r="F224" s="36">
        <f t="shared" ref="F224:F232" si="56">H$222/D$222*B224</f>
        <v>65.408766499999999</v>
      </c>
      <c r="G224" s="50">
        <f t="shared" ref="G224:G232" si="57">H$222/D$222*C224</f>
        <v>10185.724948019999</v>
      </c>
      <c r="H224" s="36">
        <f t="shared" si="55"/>
        <v>74695.316285480003</v>
      </c>
      <c r="I224" s="36"/>
      <c r="J224" s="36"/>
      <c r="K224" s="36"/>
    </row>
    <row r="225" spans="1:14" x14ac:dyDescent="0.25">
      <c r="A225" s="20">
        <v>3</v>
      </c>
      <c r="B225" s="35">
        <f>'Actuarial balances'!B206</f>
        <v>0.73948363122625194</v>
      </c>
      <c r="C225" s="35">
        <f>'Actuarial balances'!C206</f>
        <v>74.621367922357379</v>
      </c>
      <c r="D225" s="35">
        <f>'Actuarial balances'!D206</f>
        <v>671.59231130121634</v>
      </c>
      <c r="E225" s="45"/>
      <c r="F225" s="36">
        <f t="shared" si="56"/>
        <v>73.948363122625196</v>
      </c>
      <c r="G225" s="50">
        <f t="shared" si="57"/>
        <v>7462.1367922357376</v>
      </c>
      <c r="H225" s="36">
        <f t="shared" si="55"/>
        <v>67159.23113012164</v>
      </c>
      <c r="I225" s="36"/>
      <c r="J225" s="36"/>
      <c r="K225" s="36"/>
    </row>
    <row r="226" spans="1:14" x14ac:dyDescent="0.25">
      <c r="A226" s="20">
        <v>4</v>
      </c>
      <c r="B226" s="35">
        <f>'Actuarial balances'!B207</f>
        <v>0.76561523488338656</v>
      </c>
      <c r="C226" s="35">
        <f>'Actuarial balances'!C207</f>
        <v>60.374402645969965</v>
      </c>
      <c r="D226" s="35">
        <f>'Actuarial balances'!D207</f>
        <v>610.45229342036293</v>
      </c>
      <c r="E226" s="45"/>
      <c r="F226" s="36">
        <f t="shared" si="56"/>
        <v>76.561523488338651</v>
      </c>
      <c r="G226" s="50">
        <f t="shared" si="57"/>
        <v>6037.4402645969967</v>
      </c>
      <c r="H226" s="36">
        <f t="shared" si="55"/>
        <v>61045.229342036298</v>
      </c>
      <c r="I226" s="36"/>
      <c r="J226" s="36"/>
      <c r="K226" s="36"/>
    </row>
    <row r="227" spans="1:14" x14ac:dyDescent="0.25">
      <c r="A227" s="20">
        <v>5</v>
      </c>
      <c r="B227" s="35">
        <f>'Actuarial balances'!B208</f>
        <v>0.97672366947258071</v>
      </c>
      <c r="C227" s="35">
        <f>'Actuarial balances'!C208</f>
        <v>48.758045580071233</v>
      </c>
      <c r="D227" s="35">
        <f>'Actuarial balances'!D208</f>
        <v>560.71752417081916</v>
      </c>
      <c r="E227" s="45"/>
      <c r="F227" s="36">
        <f t="shared" si="56"/>
        <v>97.67236694725807</v>
      </c>
      <c r="G227" s="50">
        <f t="shared" si="57"/>
        <v>4875.804558007123</v>
      </c>
      <c r="H227" s="36">
        <f t="shared" si="55"/>
        <v>56071.752417081923</v>
      </c>
      <c r="I227" s="36"/>
      <c r="J227" s="36"/>
      <c r="K227" s="36"/>
    </row>
    <row r="228" spans="1:14" x14ac:dyDescent="0.25">
      <c r="A228" s="20">
        <v>6</v>
      </c>
      <c r="B228" s="35">
        <f>'Actuarial balances'!B209</f>
        <v>0.82425476053110414</v>
      </c>
      <c r="C228" s="35">
        <f>'Actuarial balances'!C209</f>
        <v>39.192528858720173</v>
      </c>
      <c r="D228" s="35">
        <f>'Actuarial balances'!D209</f>
        <v>520.70074055156795</v>
      </c>
      <c r="E228" s="45"/>
      <c r="F228" s="36">
        <f t="shared" si="56"/>
        <v>82.425476053110415</v>
      </c>
      <c r="G228" s="50">
        <f t="shared" si="57"/>
        <v>3919.2528858720175</v>
      </c>
      <c r="H228" s="36">
        <f t="shared" si="55"/>
        <v>52070.074055156794</v>
      </c>
      <c r="I228" s="36"/>
      <c r="J228" s="36"/>
      <c r="K228" s="36"/>
    </row>
    <row r="229" spans="1:14" x14ac:dyDescent="0.25">
      <c r="A229" s="20">
        <v>7</v>
      </c>
      <c r="B229" s="35">
        <f>'Actuarial balances'!B210</f>
        <v>0.86384252857505128</v>
      </c>
      <c r="C229" s="35">
        <f>'Actuarial balances'!C210</f>
        <v>31.19021388137957</v>
      </c>
      <c r="D229" s="35">
        <f>'Actuarial balances'!D210</f>
        <v>488.64668414161326</v>
      </c>
      <c r="E229" s="45"/>
      <c r="F229" s="36">
        <f t="shared" si="56"/>
        <v>86.384252857505132</v>
      </c>
      <c r="G229" s="50">
        <f t="shared" si="57"/>
        <v>3119.0213881379568</v>
      </c>
      <c r="H229" s="36">
        <f t="shared" si="55"/>
        <v>48864.668414161337</v>
      </c>
      <c r="I229" s="36"/>
      <c r="J229" s="36"/>
      <c r="K229" s="36"/>
    </row>
    <row r="230" spans="1:14" x14ac:dyDescent="0.25">
      <c r="A230" s="20">
        <v>8</v>
      </c>
      <c r="B230" s="35">
        <f>'Actuarial balances'!B211</f>
        <v>0.91328065266067515</v>
      </c>
      <c r="C230" s="35">
        <f>'Actuarial balances'!C211</f>
        <v>24.38667017444763</v>
      </c>
      <c r="D230" s="35">
        <f>'Actuarial balances'!D211</f>
        <v>463.34673331450495</v>
      </c>
      <c r="E230" s="45"/>
      <c r="F230" s="36">
        <f t="shared" si="56"/>
        <v>91.328065266067512</v>
      </c>
      <c r="G230" s="50">
        <f t="shared" si="57"/>
        <v>2438.6670174447631</v>
      </c>
      <c r="H230" s="36">
        <f t="shared" si="55"/>
        <v>46334.673331450504</v>
      </c>
      <c r="I230" s="36"/>
      <c r="J230" s="36"/>
      <c r="K230" s="36"/>
    </row>
    <row r="231" spans="1:14" x14ac:dyDescent="0.25">
      <c r="A231" s="20">
        <v>9</v>
      </c>
      <c r="B231" s="35">
        <f>'Actuarial balances'!B212</f>
        <v>0.97789328066026271</v>
      </c>
      <c r="C231" s="35">
        <f>'Actuarial balances'!C212</f>
        <v>18.494753601353786</v>
      </c>
      <c r="D231" s="35">
        <f>'Actuarial balances'!D212</f>
        <v>443.87408643249086</v>
      </c>
      <c r="E231" s="45"/>
      <c r="F231" s="36">
        <f t="shared" si="56"/>
        <v>97.789328066026272</v>
      </c>
      <c r="G231" s="50">
        <f t="shared" si="57"/>
        <v>1849.4753601353787</v>
      </c>
      <c r="H231" s="36">
        <f t="shared" si="55"/>
        <v>44387.408643249095</v>
      </c>
      <c r="I231" s="36"/>
      <c r="J231" s="36"/>
      <c r="K231" s="36"/>
    </row>
    <row r="232" spans="1:14" x14ac:dyDescent="0.25">
      <c r="A232" s="20">
        <v>10</v>
      </c>
      <c r="B232" s="35">
        <f>'Actuarial balances'!B213</f>
        <v>1.0439918512892186</v>
      </c>
      <c r="C232" s="35">
        <f>'Actuarial balances'!C213</f>
        <v>442.83009458120165</v>
      </c>
      <c r="D232" s="35">
        <f>'Actuarial balances'!D213</f>
        <v>0</v>
      </c>
      <c r="E232" s="45"/>
      <c r="F232" s="36">
        <f t="shared" si="56"/>
        <v>104.39918512892186</v>
      </c>
      <c r="G232" s="50">
        <f t="shared" si="57"/>
        <v>44283.009458120163</v>
      </c>
      <c r="H232" s="36">
        <f t="shared" si="55"/>
        <v>0</v>
      </c>
      <c r="I232" s="36"/>
      <c r="J232" s="36"/>
      <c r="K232" s="36"/>
    </row>
    <row r="233" spans="1:14" x14ac:dyDescent="0.25">
      <c r="B233" s="35"/>
      <c r="C233" s="35"/>
      <c r="D233" s="35"/>
      <c r="E233" s="35"/>
      <c r="F233" s="35"/>
      <c r="G233" s="35"/>
      <c r="H233" s="35"/>
      <c r="I233" s="35"/>
      <c r="J233" s="35"/>
    </row>
    <row r="234" spans="1:14" x14ac:dyDescent="0.25">
      <c r="A234" s="3" t="s">
        <v>43</v>
      </c>
    </row>
    <row r="236" spans="1:14" x14ac:dyDescent="0.25">
      <c r="B236" s="38"/>
    </row>
    <row r="237" spans="1:14" x14ac:dyDescent="0.25">
      <c r="A237" s="20" t="s">
        <v>98</v>
      </c>
      <c r="C237" s="28"/>
      <c r="D237" s="28"/>
      <c r="G237" s="28"/>
      <c r="H237" s="28"/>
      <c r="I237" s="28"/>
      <c r="J237" s="28"/>
    </row>
    <row r="238" spans="1:14" x14ac:dyDescent="0.25">
      <c r="A238" s="28"/>
      <c r="B238" s="28"/>
      <c r="C238" s="28"/>
      <c r="D238" s="28"/>
      <c r="F238" s="28"/>
      <c r="G238" s="28"/>
      <c r="H238" s="28"/>
      <c r="I238" s="28"/>
      <c r="J238" s="28"/>
      <c r="K238" s="28"/>
      <c r="L238" s="28"/>
      <c r="M238" s="28"/>
      <c r="N238" s="28"/>
    </row>
    <row r="239" spans="1:14" x14ac:dyDescent="0.25">
      <c r="A239" s="2"/>
      <c r="B239" s="2"/>
      <c r="C239" s="2"/>
      <c r="D239" s="2"/>
      <c r="E239" s="2"/>
      <c r="F239" s="2"/>
      <c r="G239" s="2"/>
      <c r="H239" s="2"/>
      <c r="I239" s="2"/>
      <c r="J239" s="2"/>
      <c r="K239" s="2"/>
      <c r="L239" s="2"/>
      <c r="M239" s="2"/>
      <c r="N239" s="2"/>
    </row>
    <row r="240" spans="1:14" x14ac:dyDescent="0.25">
      <c r="A240" s="28"/>
    </row>
    <row r="241" spans="1:14" x14ac:dyDescent="0.25">
      <c r="A241" s="28"/>
      <c r="B241" s="39"/>
      <c r="C241" s="40"/>
      <c r="D241" s="41"/>
      <c r="E241" s="27"/>
      <c r="F241" s="27"/>
      <c r="G241" s="27"/>
      <c r="H241" s="27"/>
      <c r="I241" s="27"/>
      <c r="J241" s="27"/>
      <c r="K241" s="27"/>
      <c r="L241" s="27"/>
      <c r="M241" s="27"/>
      <c r="N241" s="27"/>
    </row>
    <row r="242" spans="1:14" x14ac:dyDescent="0.25">
      <c r="A242" s="28"/>
      <c r="B242" s="39"/>
      <c r="C242" s="40"/>
      <c r="D242" s="40"/>
      <c r="E242" s="27"/>
      <c r="F242" s="27"/>
      <c r="G242" s="27"/>
      <c r="H242" s="27"/>
      <c r="I242" s="27"/>
      <c r="J242" s="27"/>
      <c r="K242" s="27"/>
      <c r="L242" s="27"/>
      <c r="M242" s="27"/>
      <c r="N242" s="27"/>
    </row>
    <row r="243" spans="1:14" x14ac:dyDescent="0.25">
      <c r="A243" s="28"/>
      <c r="B243" s="39"/>
      <c r="C243" s="40"/>
      <c r="D243" s="40"/>
      <c r="E243" s="27"/>
      <c r="F243" s="27"/>
      <c r="G243" s="27"/>
      <c r="H243" s="27"/>
      <c r="I243" s="27"/>
      <c r="J243" s="27"/>
      <c r="K243" s="27"/>
      <c r="L243" s="27"/>
      <c r="M243" s="27"/>
      <c r="N243" s="27"/>
    </row>
    <row r="244" spans="1:14" x14ac:dyDescent="0.25">
      <c r="A244" s="28"/>
      <c r="B244" s="39"/>
      <c r="C244" s="40"/>
      <c r="D244" s="40"/>
      <c r="E244" s="27"/>
      <c r="F244" s="27"/>
      <c r="G244" s="27"/>
      <c r="H244" s="27"/>
      <c r="I244" s="27"/>
      <c r="J244" s="27"/>
      <c r="K244" s="27"/>
      <c r="L244" s="27"/>
      <c r="M244" s="27"/>
      <c r="N244" s="27"/>
    </row>
    <row r="245" spans="1:14" x14ac:dyDescent="0.25">
      <c r="A245" s="28"/>
      <c r="B245" s="39"/>
      <c r="C245" s="40"/>
      <c r="D245" s="40"/>
      <c r="E245" s="27"/>
      <c r="F245" s="27"/>
      <c r="G245" s="27"/>
      <c r="H245" s="27"/>
      <c r="I245" s="27"/>
      <c r="J245" s="27"/>
      <c r="K245" s="27"/>
      <c r="L245" s="27"/>
      <c r="M245" s="27"/>
      <c r="N245" s="27"/>
    </row>
    <row r="246" spans="1:14" x14ac:dyDescent="0.25">
      <c r="A246" s="28"/>
      <c r="B246" s="39"/>
      <c r="C246" s="40"/>
      <c r="D246" s="40"/>
      <c r="E246" s="27"/>
      <c r="F246" s="27"/>
      <c r="G246" s="27"/>
      <c r="H246" s="27"/>
      <c r="I246" s="27"/>
      <c r="J246" s="27"/>
      <c r="K246" s="27"/>
      <c r="L246" s="27"/>
      <c r="M246" s="27"/>
      <c r="N246" s="27"/>
    </row>
    <row r="247" spans="1:14" x14ac:dyDescent="0.25">
      <c r="A247" s="28"/>
      <c r="B247" s="39"/>
      <c r="C247" s="40"/>
      <c r="D247" s="40"/>
      <c r="E247" s="27"/>
      <c r="F247" s="27"/>
      <c r="G247" s="27"/>
      <c r="H247" s="27"/>
      <c r="I247" s="27"/>
      <c r="J247" s="27"/>
      <c r="K247" s="27"/>
      <c r="L247" s="27"/>
      <c r="M247" s="27"/>
      <c r="N247" s="27"/>
    </row>
    <row r="248" spans="1:14" x14ac:dyDescent="0.25">
      <c r="A248" s="28"/>
      <c r="B248" s="39"/>
      <c r="C248" s="40"/>
      <c r="D248" s="40"/>
      <c r="E248" s="27"/>
      <c r="F248" s="27"/>
      <c r="G248" s="27"/>
      <c r="H248" s="27"/>
      <c r="I248" s="27"/>
      <c r="J248" s="27"/>
      <c r="K248" s="27"/>
      <c r="L248" s="27"/>
      <c r="M248" s="27"/>
      <c r="N248" s="27"/>
    </row>
    <row r="249" spans="1:14" x14ac:dyDescent="0.25">
      <c r="A249" s="28"/>
      <c r="B249" s="39"/>
      <c r="C249" s="40"/>
      <c r="D249" s="40"/>
      <c r="E249" s="27"/>
      <c r="F249" s="27"/>
      <c r="G249" s="27"/>
      <c r="H249" s="27"/>
      <c r="I249" s="27"/>
      <c r="J249" s="27"/>
      <c r="K249" s="27"/>
      <c r="L249" s="27"/>
      <c r="M249" s="27"/>
      <c r="N249" s="27"/>
    </row>
    <row r="250" spans="1:14" x14ac:dyDescent="0.25">
      <c r="A250" s="28"/>
      <c r="B250" s="39"/>
      <c r="C250" s="40"/>
      <c r="D250" s="40"/>
      <c r="E250" s="27"/>
      <c r="F250" s="27"/>
      <c r="G250" s="27"/>
      <c r="H250" s="27"/>
      <c r="I250" s="27"/>
      <c r="J250" s="27"/>
      <c r="K250" s="27"/>
      <c r="L250" s="27"/>
      <c r="M250" s="27"/>
      <c r="N250" s="27"/>
    </row>
    <row r="251" spans="1:14" x14ac:dyDescent="0.25">
      <c r="B251" s="35"/>
      <c r="C251" s="35"/>
      <c r="D251" s="35"/>
      <c r="F251" s="27"/>
      <c r="G251" s="35"/>
      <c r="H251" s="35"/>
      <c r="I251" s="35"/>
      <c r="J251" s="35"/>
    </row>
    <row r="252" spans="1:14" x14ac:dyDescent="0.25">
      <c r="A252" s="28"/>
      <c r="B252" s="35"/>
      <c r="C252" s="35"/>
      <c r="D252" s="35"/>
      <c r="F252" s="27"/>
      <c r="G252" s="35"/>
      <c r="H252" s="27"/>
      <c r="I252" s="27"/>
      <c r="J252" s="27"/>
      <c r="N252" s="42"/>
    </row>
    <row r="253" spans="1:14" x14ac:dyDescent="0.25">
      <c r="B253" s="35"/>
      <c r="C253" s="35"/>
      <c r="D253" s="35"/>
      <c r="G253" s="35"/>
      <c r="H253" s="31"/>
      <c r="I253" s="31"/>
      <c r="J253" s="26"/>
      <c r="K253" s="35"/>
      <c r="L253" s="35"/>
      <c r="N253" s="31"/>
    </row>
    <row r="254" spans="1:14" x14ac:dyDescent="0.25">
      <c r="B254" s="35"/>
      <c r="C254" s="35"/>
      <c r="D254" s="35"/>
      <c r="E254" s="35"/>
      <c r="F254" s="35"/>
      <c r="G254" s="35"/>
      <c r="H254" s="35"/>
      <c r="I254" s="35"/>
      <c r="J254" s="35"/>
    </row>
    <row r="255" spans="1:14" x14ac:dyDescent="0.25">
      <c r="B255" s="35"/>
      <c r="C255" s="35"/>
      <c r="D255" s="35"/>
      <c r="E255" s="35"/>
      <c r="F255" s="37"/>
      <c r="G255" s="35"/>
      <c r="H255" s="35"/>
      <c r="I255" s="35"/>
      <c r="J255" s="35"/>
    </row>
    <row r="256" spans="1:14" x14ac:dyDescent="0.25">
      <c r="B256" s="35"/>
      <c r="C256" s="35"/>
      <c r="D256" s="35"/>
      <c r="E256" s="35"/>
      <c r="F256" s="35"/>
      <c r="G256" s="35"/>
      <c r="H256" s="35"/>
      <c r="I256" s="35"/>
      <c r="J256" s="35"/>
    </row>
    <row r="257" spans="1:15" x14ac:dyDescent="0.25">
      <c r="A257" s="3" t="s">
        <v>138</v>
      </c>
      <c r="B257" s="35"/>
      <c r="C257" s="35"/>
      <c r="D257" s="35"/>
      <c r="E257" s="35"/>
      <c r="F257" s="35"/>
      <c r="G257" s="35"/>
      <c r="H257" s="35"/>
      <c r="I257" s="35"/>
      <c r="J257" s="35"/>
    </row>
    <row r="258" spans="1:15" x14ac:dyDescent="0.25">
      <c r="B258" s="35"/>
      <c r="C258" s="35"/>
      <c r="D258" s="35"/>
      <c r="E258" s="35"/>
      <c r="F258" s="35"/>
      <c r="G258" s="35"/>
      <c r="H258" s="35"/>
      <c r="I258" s="35"/>
      <c r="J258" s="35"/>
    </row>
    <row r="259" spans="1:15" x14ac:dyDescent="0.25">
      <c r="C259" s="28"/>
      <c r="D259" s="28"/>
      <c r="G259" s="28"/>
      <c r="H259" s="28"/>
      <c r="I259" s="28"/>
      <c r="J259" s="28"/>
    </row>
    <row r="260" spans="1:15" x14ac:dyDescent="0.25">
      <c r="A260" s="28" t="s">
        <v>0</v>
      </c>
      <c r="B260" s="28" t="s">
        <v>95</v>
      </c>
      <c r="C260" s="28" t="s">
        <v>95</v>
      </c>
      <c r="D260" s="28" t="s">
        <v>96</v>
      </c>
      <c r="E260" s="28" t="s">
        <v>97</v>
      </c>
      <c r="F260" s="28"/>
      <c r="H260" s="28"/>
      <c r="I260" s="28"/>
      <c r="J260" s="28"/>
      <c r="K260" s="28"/>
      <c r="L260" s="28"/>
      <c r="M260" s="28"/>
      <c r="O260" s="28"/>
    </row>
    <row r="261" spans="1:15" x14ac:dyDescent="0.25">
      <c r="A261" s="2" t="s">
        <v>1</v>
      </c>
      <c r="B261" s="2" t="s">
        <v>39</v>
      </c>
      <c r="C261" s="2" t="s">
        <v>42</v>
      </c>
      <c r="D261" s="2" t="s">
        <v>42</v>
      </c>
      <c r="E261" s="2" t="s">
        <v>39</v>
      </c>
      <c r="F261" s="2"/>
      <c r="H261" s="2"/>
      <c r="I261" s="2"/>
      <c r="J261" s="2"/>
      <c r="K261" s="2"/>
      <c r="L261" s="2"/>
      <c r="M261" s="2"/>
      <c r="O261" s="2"/>
    </row>
    <row r="262" spans="1:15" x14ac:dyDescent="0.25">
      <c r="A262" s="28"/>
      <c r="B262" s="42">
        <f>E72</f>
        <v>0</v>
      </c>
      <c r="C262" s="36">
        <f>P15</f>
        <v>100000</v>
      </c>
      <c r="D262" s="36">
        <f>H222</f>
        <v>100000</v>
      </c>
      <c r="E262" s="27">
        <f>B262*D262/C262</f>
        <v>0</v>
      </c>
      <c r="H262" s="28"/>
      <c r="I262" s="27"/>
      <c r="J262" s="27"/>
      <c r="K262" s="27"/>
      <c r="L262" s="27"/>
    </row>
    <row r="263" spans="1:15" x14ac:dyDescent="0.25">
      <c r="A263" s="28">
        <v>1</v>
      </c>
      <c r="B263" s="42">
        <f t="shared" ref="B263:B272" si="58">E73</f>
        <v>7891416.8199502639</v>
      </c>
      <c r="C263" s="36">
        <f t="shared" ref="C263:C272" si="59">P16</f>
        <v>84946.45</v>
      </c>
      <c r="D263" s="36">
        <f t="shared" ref="D263:D272" si="60">H223</f>
        <v>84946.45</v>
      </c>
      <c r="E263" s="27">
        <f t="shared" ref="E263:E271" si="61">B263*D263/C263</f>
        <v>7891416.8199502639</v>
      </c>
      <c r="F263" s="27"/>
      <c r="H263" s="28"/>
      <c r="I263" s="27"/>
      <c r="J263" s="27"/>
      <c r="K263" s="27"/>
      <c r="L263" s="27"/>
      <c r="M263" s="27"/>
      <c r="N263" s="27"/>
    </row>
    <row r="264" spans="1:15" x14ac:dyDescent="0.25">
      <c r="A264" s="28">
        <v>2</v>
      </c>
      <c r="B264" s="42">
        <f t="shared" si="58"/>
        <v>13874623.374817127</v>
      </c>
      <c r="C264" s="36">
        <f t="shared" si="59"/>
        <v>74695.316285480003</v>
      </c>
      <c r="D264" s="36">
        <f t="shared" si="60"/>
        <v>74695.316285480003</v>
      </c>
      <c r="E264" s="27">
        <f t="shared" si="61"/>
        <v>13874623.374817127</v>
      </c>
      <c r="F264" s="27"/>
      <c r="H264" s="28"/>
      <c r="I264" s="27"/>
      <c r="J264" s="27"/>
      <c r="K264" s="27"/>
      <c r="L264" s="27"/>
      <c r="M264" s="27"/>
      <c r="N264" s="27"/>
    </row>
    <row r="265" spans="1:15" x14ac:dyDescent="0.25">
      <c r="A265" s="28">
        <v>3</v>
      </c>
      <c r="B265" s="42">
        <f t="shared" si="58"/>
        <v>18719424.955942657</v>
      </c>
      <c r="C265" s="36">
        <f t="shared" si="59"/>
        <v>67159.23113012164</v>
      </c>
      <c r="D265" s="36">
        <f t="shared" si="60"/>
        <v>67159.23113012164</v>
      </c>
      <c r="E265" s="27">
        <f t="shared" si="61"/>
        <v>18719424.955942657</v>
      </c>
      <c r="F265" s="27"/>
      <c r="H265" s="28"/>
      <c r="I265" s="27"/>
      <c r="J265" s="27"/>
      <c r="K265" s="27"/>
      <c r="L265" s="27"/>
      <c r="M265" s="27"/>
      <c r="N265" s="27"/>
    </row>
    <row r="266" spans="1:15" x14ac:dyDescent="0.25">
      <c r="A266" s="28">
        <v>4</v>
      </c>
      <c r="B266" s="42">
        <f t="shared" si="58"/>
        <v>22782876.62103143</v>
      </c>
      <c r="C266" s="36">
        <f t="shared" si="59"/>
        <v>61045.229342036298</v>
      </c>
      <c r="D266" s="36">
        <f t="shared" si="60"/>
        <v>61045.229342036298</v>
      </c>
      <c r="E266" s="27">
        <f t="shared" si="61"/>
        <v>22782876.62103143</v>
      </c>
      <c r="F266" s="27"/>
      <c r="H266" s="28"/>
      <c r="I266" s="27"/>
      <c r="J266" s="27"/>
      <c r="K266" s="27"/>
      <c r="L266" s="27"/>
      <c r="M266" s="27"/>
      <c r="N266" s="27"/>
    </row>
    <row r="267" spans="1:15" x14ac:dyDescent="0.25">
      <c r="A267" s="28">
        <v>5</v>
      </c>
      <c r="B267" s="42">
        <f t="shared" si="58"/>
        <v>26347544.177144613</v>
      </c>
      <c r="C267" s="36">
        <f t="shared" si="59"/>
        <v>56089.724132600219</v>
      </c>
      <c r="D267" s="36">
        <f t="shared" si="60"/>
        <v>56071.752417081923</v>
      </c>
      <c r="E267" s="27">
        <f t="shared" si="61"/>
        <v>26339102.157222427</v>
      </c>
      <c r="F267" s="27"/>
      <c r="H267" s="28"/>
      <c r="I267" s="27"/>
      <c r="J267" s="27"/>
      <c r="K267" s="27"/>
      <c r="L267" s="27"/>
      <c r="M267" s="27"/>
      <c r="N267" s="27"/>
    </row>
    <row r="268" spans="1:15" x14ac:dyDescent="0.25">
      <c r="A268" s="28">
        <v>6</v>
      </c>
      <c r="B268" s="42">
        <f t="shared" si="58"/>
        <v>29632093.083167925</v>
      </c>
      <c r="C268" s="36">
        <f t="shared" si="59"/>
        <v>52090.414622497556</v>
      </c>
      <c r="D268" s="36">
        <f t="shared" si="60"/>
        <v>52070.074055156794</v>
      </c>
      <c r="E268" s="27">
        <f t="shared" si="61"/>
        <v>29620522.171529498</v>
      </c>
      <c r="F268" s="27"/>
      <c r="H268" s="28"/>
      <c r="I268" s="27"/>
      <c r="J268" s="27"/>
      <c r="K268" s="27"/>
      <c r="L268" s="27"/>
      <c r="M268" s="27"/>
      <c r="N268" s="27"/>
    </row>
    <row r="269" spans="1:15" x14ac:dyDescent="0.25">
      <c r="A269" s="28">
        <v>7</v>
      </c>
      <c r="B269" s="42">
        <f t="shared" si="58"/>
        <v>32806523.217442393</v>
      </c>
      <c r="C269" s="36">
        <f t="shared" si="59"/>
        <v>48887.625061350373</v>
      </c>
      <c r="D269" s="36">
        <f t="shared" si="60"/>
        <v>48864.668414161337</v>
      </c>
      <c r="E269" s="27">
        <f t="shared" si="61"/>
        <v>32791117.932811435</v>
      </c>
      <c r="F269" s="27"/>
      <c r="H269" s="28"/>
      <c r="I269" s="27"/>
      <c r="J269" s="27"/>
      <c r="K269" s="27"/>
      <c r="L269" s="27"/>
      <c r="M269" s="27"/>
      <c r="N269" s="27"/>
    </row>
    <row r="270" spans="1:15" x14ac:dyDescent="0.25">
      <c r="A270" s="28">
        <v>8</v>
      </c>
      <c r="B270" s="42">
        <f t="shared" si="58"/>
        <v>36013666.747336388</v>
      </c>
      <c r="C270" s="36">
        <f t="shared" si="59"/>
        <v>46360.574834304112</v>
      </c>
      <c r="D270" s="36">
        <f t="shared" si="60"/>
        <v>46334.673331450504</v>
      </c>
      <c r="E270" s="27">
        <f t="shared" si="61"/>
        <v>35993546.028485104</v>
      </c>
      <c r="F270" s="27"/>
      <c r="H270" s="28"/>
      <c r="I270" s="27"/>
      <c r="J270" s="27"/>
      <c r="K270" s="27"/>
      <c r="L270" s="27"/>
      <c r="M270" s="27"/>
      <c r="N270" s="27"/>
    </row>
    <row r="271" spans="1:15" x14ac:dyDescent="0.25">
      <c r="A271" s="28">
        <v>9</v>
      </c>
      <c r="B271" s="42">
        <f t="shared" si="58"/>
        <v>39377384.0376672</v>
      </c>
      <c r="C271" s="36">
        <f t="shared" si="59"/>
        <v>44416.694475731674</v>
      </c>
      <c r="D271" s="36">
        <f t="shared" si="60"/>
        <v>44387.408643249095</v>
      </c>
      <c r="E271" s="27">
        <f t="shared" si="61"/>
        <v>39351420.838781267</v>
      </c>
      <c r="F271" s="27"/>
      <c r="H271" s="28"/>
      <c r="I271" s="27"/>
      <c r="J271" s="27"/>
      <c r="K271" s="27"/>
      <c r="L271" s="27"/>
      <c r="M271" s="27"/>
      <c r="N271" s="27"/>
    </row>
    <row r="272" spans="1:15" x14ac:dyDescent="0.25">
      <c r="A272" s="28">
        <v>10</v>
      </c>
      <c r="B272" s="42">
        <f t="shared" si="58"/>
        <v>0</v>
      </c>
      <c r="C272" s="36">
        <f t="shared" si="59"/>
        <v>0</v>
      </c>
      <c r="D272" s="36">
        <f t="shared" si="60"/>
        <v>0</v>
      </c>
      <c r="E272" s="27">
        <v>0</v>
      </c>
      <c r="F272" s="27"/>
      <c r="H272" s="28"/>
      <c r="I272" s="27"/>
      <c r="J272" s="27"/>
      <c r="K272" s="27"/>
      <c r="L272" s="27"/>
      <c r="M272" s="27"/>
      <c r="N272" s="27"/>
    </row>
    <row r="273" spans="1:15" x14ac:dyDescent="0.25">
      <c r="B273" s="35"/>
      <c r="C273" s="35"/>
      <c r="D273" s="35"/>
      <c r="E273" s="35"/>
      <c r="F273" s="35"/>
      <c r="G273" s="27"/>
      <c r="H273" s="27"/>
      <c r="I273" s="27"/>
      <c r="J273" s="27"/>
    </row>
    <row r="274" spans="1:15" x14ac:dyDescent="0.25">
      <c r="A274" s="3" t="s">
        <v>135</v>
      </c>
      <c r="G274" s="27"/>
      <c r="H274" s="27"/>
      <c r="I274" s="27"/>
      <c r="J274" s="27"/>
    </row>
    <row r="275" spans="1:15" x14ac:dyDescent="0.25">
      <c r="A275" s="3"/>
      <c r="G275" s="27"/>
      <c r="H275" s="27"/>
      <c r="I275" s="27"/>
      <c r="J275" s="27"/>
    </row>
    <row r="276" spans="1:15" x14ac:dyDescent="0.25">
      <c r="A276" s="3"/>
      <c r="G276" s="27"/>
      <c r="H276" s="27"/>
      <c r="I276" s="27"/>
      <c r="J276" s="27"/>
    </row>
    <row r="277" spans="1:15" x14ac:dyDescent="0.25">
      <c r="B277" s="28"/>
      <c r="C277" s="28"/>
      <c r="D277" s="28"/>
      <c r="F277" s="28"/>
      <c r="G277" s="27"/>
      <c r="H277" s="27"/>
      <c r="I277" s="27"/>
      <c r="J277" s="27"/>
    </row>
    <row r="278" spans="1:15" x14ac:dyDescent="0.25">
      <c r="A278" s="28" t="s">
        <v>0</v>
      </c>
      <c r="B278" s="28" t="s">
        <v>95</v>
      </c>
      <c r="C278" s="28" t="s">
        <v>95</v>
      </c>
      <c r="D278" s="28" t="s">
        <v>96</v>
      </c>
      <c r="E278" s="28" t="s">
        <v>97</v>
      </c>
      <c r="F278" s="28"/>
      <c r="G278" s="27"/>
      <c r="H278" s="27"/>
      <c r="I278" s="27"/>
      <c r="J278" s="27"/>
    </row>
    <row r="279" spans="1:15" x14ac:dyDescent="0.25">
      <c r="A279" s="2" t="s">
        <v>1</v>
      </c>
      <c r="B279" s="2" t="s">
        <v>9</v>
      </c>
      <c r="C279" s="2" t="s">
        <v>42</v>
      </c>
      <c r="D279" s="2" t="s">
        <v>42</v>
      </c>
      <c r="E279" s="2" t="s">
        <v>9</v>
      </c>
      <c r="F279" s="2"/>
      <c r="G279" s="27"/>
      <c r="H279" s="27"/>
      <c r="I279" s="27"/>
      <c r="J279" s="27"/>
    </row>
    <row r="280" spans="1:15" x14ac:dyDescent="0.25">
      <c r="B280" s="42">
        <f>E110</f>
        <v>0</v>
      </c>
      <c r="C280" s="42">
        <f>C262</f>
        <v>100000</v>
      </c>
      <c r="D280" s="42">
        <f>D262</f>
        <v>100000</v>
      </c>
      <c r="E280" s="42">
        <f t="shared" ref="E280:E289" si="62">B280*D280/C280</f>
        <v>0</v>
      </c>
      <c r="G280" s="27"/>
      <c r="H280" s="27"/>
      <c r="I280" s="27"/>
      <c r="J280" s="27"/>
      <c r="L280" s="27"/>
      <c r="M280" s="27"/>
      <c r="N280" s="27"/>
      <c r="O280" s="27"/>
    </row>
    <row r="281" spans="1:15" x14ac:dyDescent="0.25">
      <c r="A281" s="20">
        <v>1</v>
      </c>
      <c r="B281" s="42">
        <f t="shared" ref="B281:B290" si="63">E111</f>
        <v>5423708.5843566284</v>
      </c>
      <c r="C281" s="42">
        <f t="shared" ref="C281:D290" si="64">C263</f>
        <v>84946.45</v>
      </c>
      <c r="D281" s="42">
        <f t="shared" si="64"/>
        <v>84946.45</v>
      </c>
      <c r="E281" s="42">
        <f t="shared" si="62"/>
        <v>5423708.5843566284</v>
      </c>
      <c r="G281" s="27"/>
      <c r="H281" s="27"/>
      <c r="I281" s="27"/>
      <c r="J281" s="27"/>
      <c r="L281" s="27"/>
      <c r="M281" s="27"/>
      <c r="N281" s="27"/>
      <c r="O281" s="27"/>
    </row>
    <row r="282" spans="1:15" x14ac:dyDescent="0.25">
      <c r="A282" s="20">
        <v>2</v>
      </c>
      <c r="B282" s="42">
        <f t="shared" si="63"/>
        <v>4603231.930389802</v>
      </c>
      <c r="C282" s="42">
        <f t="shared" si="64"/>
        <v>74695.316285480003</v>
      </c>
      <c r="D282" s="42">
        <f t="shared" si="64"/>
        <v>74695.316285480003</v>
      </c>
      <c r="E282" s="42">
        <f t="shared" si="62"/>
        <v>4603231.930389802</v>
      </c>
      <c r="G282" s="27"/>
      <c r="H282" s="27"/>
      <c r="I282" s="27"/>
      <c r="J282" s="27"/>
      <c r="L282" s="27"/>
      <c r="M282" s="27"/>
      <c r="N282" s="27"/>
      <c r="O282" s="27"/>
    </row>
    <row r="283" spans="1:15" x14ac:dyDescent="0.25">
      <c r="A283" s="20">
        <v>3</v>
      </c>
      <c r="B283" s="42">
        <f t="shared" si="63"/>
        <v>3881651.2157183746</v>
      </c>
      <c r="C283" s="42">
        <f t="shared" si="64"/>
        <v>67159.23113012164</v>
      </c>
      <c r="D283" s="42">
        <f t="shared" si="64"/>
        <v>67159.23113012164</v>
      </c>
      <c r="E283" s="42">
        <f t="shared" si="62"/>
        <v>3881651.2157183746</v>
      </c>
      <c r="G283" s="27"/>
      <c r="H283" s="27"/>
      <c r="I283" s="27"/>
      <c r="J283" s="27"/>
      <c r="L283" s="27"/>
      <c r="M283" s="27"/>
      <c r="N283" s="27"/>
      <c r="O283" s="27"/>
    </row>
    <row r="284" spans="1:15" x14ac:dyDescent="0.25">
      <c r="A284" s="20">
        <v>4</v>
      </c>
      <c r="B284" s="42">
        <f t="shared" si="63"/>
        <v>3226683.3709583422</v>
      </c>
      <c r="C284" s="42">
        <f t="shared" si="64"/>
        <v>61045.229342036298</v>
      </c>
      <c r="D284" s="42">
        <f t="shared" si="64"/>
        <v>61045.229342036298</v>
      </c>
      <c r="E284" s="42">
        <f t="shared" si="62"/>
        <v>3226683.3709583422</v>
      </c>
      <c r="G284" s="27"/>
      <c r="H284" s="27"/>
      <c r="I284" s="27"/>
      <c r="J284" s="27"/>
      <c r="L284" s="27"/>
      <c r="M284" s="27"/>
      <c r="N284" s="27"/>
      <c r="O284" s="27"/>
    </row>
    <row r="285" spans="1:15" x14ac:dyDescent="0.25">
      <c r="A285" s="20">
        <v>5</v>
      </c>
      <c r="B285" s="42">
        <f t="shared" si="63"/>
        <v>2623132.2415056364</v>
      </c>
      <c r="C285" s="42">
        <f t="shared" si="64"/>
        <v>56089.724132600219</v>
      </c>
      <c r="D285" s="42">
        <f t="shared" si="64"/>
        <v>56071.752417081923</v>
      </c>
      <c r="E285" s="42">
        <f t="shared" si="62"/>
        <v>2622291.7633763487</v>
      </c>
      <c r="F285" s="26"/>
      <c r="G285" s="27"/>
      <c r="H285" s="27"/>
      <c r="I285" s="27"/>
      <c r="J285" s="27"/>
      <c r="K285" s="46"/>
      <c r="L285" s="27"/>
      <c r="M285" s="27"/>
      <c r="N285" s="27"/>
      <c r="O285" s="27"/>
    </row>
    <row r="286" spans="1:15" x14ac:dyDescent="0.25">
      <c r="A286" s="20">
        <v>6</v>
      </c>
      <c r="B286" s="42">
        <f t="shared" si="63"/>
        <v>2058476.8935832004</v>
      </c>
      <c r="C286" s="42">
        <f t="shared" si="64"/>
        <v>52090.414622497556</v>
      </c>
      <c r="D286" s="42">
        <f t="shared" si="64"/>
        <v>52070.074055156794</v>
      </c>
      <c r="E286" s="42">
        <f t="shared" si="62"/>
        <v>2057673.0875821009</v>
      </c>
      <c r="G286" s="27"/>
      <c r="H286" s="27"/>
      <c r="I286" s="27"/>
      <c r="J286" s="27"/>
      <c r="L286" s="27"/>
      <c r="M286" s="27"/>
      <c r="N286" s="27"/>
      <c r="O286" s="27"/>
    </row>
    <row r="287" spans="1:15" x14ac:dyDescent="0.25">
      <c r="A287" s="20">
        <v>7</v>
      </c>
      <c r="B287" s="42">
        <f t="shared" si="63"/>
        <v>1522230.8608388151</v>
      </c>
      <c r="C287" s="42">
        <f t="shared" si="64"/>
        <v>48887.625061350373</v>
      </c>
      <c r="D287" s="42">
        <f t="shared" si="64"/>
        <v>48864.668414161337</v>
      </c>
      <c r="E287" s="42">
        <f t="shared" si="62"/>
        <v>1521516.051789108</v>
      </c>
      <c r="G287" s="27"/>
      <c r="H287" s="27"/>
      <c r="I287" s="27"/>
      <c r="J287" s="27"/>
      <c r="K287" s="42"/>
      <c r="L287" s="27"/>
      <c r="M287" s="27"/>
      <c r="N287" s="27"/>
      <c r="O287" s="27"/>
    </row>
    <row r="288" spans="1:15" x14ac:dyDescent="0.25">
      <c r="A288" s="20">
        <v>8</v>
      </c>
      <c r="B288" s="42">
        <f t="shared" si="63"/>
        <v>1005459.5069409481</v>
      </c>
      <c r="C288" s="42">
        <f t="shared" si="64"/>
        <v>46360.574834304112</v>
      </c>
      <c r="D288" s="42">
        <f t="shared" si="64"/>
        <v>46334.673331450504</v>
      </c>
      <c r="E288" s="42">
        <f t="shared" si="62"/>
        <v>1004897.7599742357</v>
      </c>
      <c r="G288" s="27"/>
      <c r="H288" s="27"/>
      <c r="I288" s="27"/>
      <c r="J288" s="27"/>
      <c r="L288" s="27"/>
      <c r="M288" s="27"/>
      <c r="N288" s="27"/>
      <c r="O288" s="27"/>
    </row>
    <row r="289" spans="1:15" x14ac:dyDescent="0.25">
      <c r="A289" s="20">
        <v>9</v>
      </c>
      <c r="B289" s="42">
        <f t="shared" si="63"/>
        <v>500369.62059265521</v>
      </c>
      <c r="C289" s="42">
        <f t="shared" si="64"/>
        <v>44416.694475731674</v>
      </c>
      <c r="D289" s="42">
        <f t="shared" si="64"/>
        <v>44387.408643249095</v>
      </c>
      <c r="E289" s="42">
        <f t="shared" si="62"/>
        <v>500039.70543212799</v>
      </c>
      <c r="G289" s="27"/>
      <c r="H289" s="27"/>
      <c r="I289" s="27"/>
      <c r="J289" s="27"/>
      <c r="L289" s="27"/>
      <c r="M289" s="27"/>
      <c r="N289" s="27"/>
      <c r="O289" s="27"/>
    </row>
    <row r="290" spans="1:15" x14ac:dyDescent="0.25">
      <c r="A290" s="20">
        <v>10</v>
      </c>
      <c r="B290" s="42">
        <f t="shared" si="63"/>
        <v>0</v>
      </c>
      <c r="C290" s="42">
        <f t="shared" si="64"/>
        <v>0</v>
      </c>
      <c r="D290" s="42">
        <f t="shared" si="64"/>
        <v>0</v>
      </c>
      <c r="E290" s="42">
        <v>0</v>
      </c>
      <c r="G290" s="27"/>
      <c r="H290" s="27"/>
      <c r="I290" s="27"/>
      <c r="J290" s="27"/>
      <c r="L290" s="27"/>
      <c r="M290" s="27"/>
      <c r="N290" s="27"/>
      <c r="O290" s="27"/>
    </row>
    <row r="291" spans="1:15" x14ac:dyDescent="0.25">
      <c r="B291" s="36"/>
      <c r="C291" s="36"/>
      <c r="D291" s="36"/>
      <c r="E291" s="36"/>
      <c r="F291" s="31"/>
      <c r="G291" s="27"/>
      <c r="H291" s="27"/>
      <c r="I291" s="27"/>
      <c r="J291" s="27"/>
    </row>
    <row r="292" spans="1:15" x14ac:dyDescent="0.25">
      <c r="A292" s="28"/>
      <c r="B292" s="36"/>
      <c r="C292" s="36"/>
      <c r="D292" s="36"/>
      <c r="E292" s="36"/>
      <c r="F292" s="31"/>
      <c r="G292" s="27"/>
      <c r="H292" s="27"/>
      <c r="I292" s="27"/>
      <c r="J292" s="27"/>
    </row>
    <row r="293" spans="1:15" x14ac:dyDescent="0.25">
      <c r="B293" s="36"/>
      <c r="C293" s="36"/>
      <c r="D293" s="36"/>
      <c r="E293" s="36"/>
      <c r="F293" s="31"/>
      <c r="G293" s="27"/>
      <c r="H293" s="27"/>
      <c r="I293" s="27"/>
      <c r="J293" s="27"/>
    </row>
    <row r="294" spans="1:15" x14ac:dyDescent="0.25">
      <c r="A294" s="3" t="s">
        <v>29</v>
      </c>
      <c r="F294" s="31"/>
      <c r="G294" s="36"/>
    </row>
    <row r="295" spans="1:15" x14ac:dyDescent="0.25">
      <c r="A295" s="3"/>
    </row>
    <row r="296" spans="1:15" x14ac:dyDescent="0.25">
      <c r="A296" s="20" t="s">
        <v>98</v>
      </c>
      <c r="B296" s="28"/>
      <c r="C296" s="28"/>
      <c r="D296" s="28"/>
    </row>
    <row r="297" spans="1:15" x14ac:dyDescent="0.25">
      <c r="B297" s="2"/>
      <c r="C297" s="2"/>
      <c r="D297" s="2"/>
      <c r="E297" s="5"/>
    </row>
    <row r="298" spans="1:15" x14ac:dyDescent="0.25">
      <c r="D298" s="36"/>
    </row>
    <row r="299" spans="1:15" x14ac:dyDescent="0.25">
      <c r="B299" s="36"/>
      <c r="C299" s="36"/>
      <c r="D299" s="36"/>
    </row>
    <row r="300" spans="1:15" x14ac:dyDescent="0.25">
      <c r="B300" s="36"/>
      <c r="C300" s="36"/>
      <c r="D300" s="36"/>
    </row>
    <row r="301" spans="1:15" x14ac:dyDescent="0.25">
      <c r="B301" s="36"/>
      <c r="C301" s="36"/>
      <c r="D301" s="36"/>
    </row>
    <row r="302" spans="1:15" x14ac:dyDescent="0.25">
      <c r="B302" s="36"/>
      <c r="C302" s="36"/>
      <c r="D302" s="36"/>
    </row>
    <row r="303" spans="1:15" x14ac:dyDescent="0.25">
      <c r="B303" s="36"/>
      <c r="C303" s="36"/>
      <c r="D303" s="36"/>
    </row>
    <row r="304" spans="1:15" x14ac:dyDescent="0.25">
      <c r="B304" s="36"/>
      <c r="C304" s="36"/>
      <c r="D304" s="36"/>
    </row>
    <row r="305" spans="2:4" x14ac:dyDescent="0.25">
      <c r="B305" s="36"/>
      <c r="C305" s="36"/>
      <c r="D305" s="36"/>
    </row>
    <row r="306" spans="2:4" x14ac:dyDescent="0.25">
      <c r="B306" s="36"/>
      <c r="C306" s="36"/>
      <c r="D306" s="36"/>
    </row>
    <row r="307" spans="2:4" x14ac:dyDescent="0.25">
      <c r="B307" s="36"/>
      <c r="C307" s="36"/>
      <c r="D307" s="36"/>
    </row>
    <row r="308" spans="2:4" x14ac:dyDescent="0.25">
      <c r="B308" s="36"/>
      <c r="C308" s="36"/>
      <c r="D308" s="36"/>
    </row>
  </sheetData>
  <mergeCells count="1">
    <mergeCell ref="O30:Q30"/>
  </mergeCells>
  <hyperlinks>
    <hyperlink ref="D69" r:id="rId1" display="Units@" xr:uid="{00000000-0004-0000-0900-000000000000}"/>
    <hyperlink ref="D107" r:id="rId2" display="Units@" xr:uid="{00000000-0004-0000-0900-000001000000}"/>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120"/>
  <sheetViews>
    <sheetView topLeftCell="A46" zoomScaleNormal="100" workbookViewId="0">
      <selection activeCell="A5" sqref="A5"/>
    </sheetView>
  </sheetViews>
  <sheetFormatPr defaultColWidth="8.7109375" defaultRowHeight="15" x14ac:dyDescent="0.25"/>
  <cols>
    <col min="1" max="1" width="20.140625" style="20" customWidth="1"/>
    <col min="2" max="2" width="11.85546875" style="20" bestFit="1" customWidth="1"/>
    <col min="3" max="3" width="15.140625" style="20" bestFit="1" customWidth="1"/>
    <col min="4" max="4" width="13.5703125" style="20" customWidth="1"/>
    <col min="5" max="5" width="12" style="20" customWidth="1"/>
    <col min="6" max="7" width="11.85546875" style="20" bestFit="1" customWidth="1"/>
    <col min="8" max="8" width="12.85546875" style="20" customWidth="1"/>
    <col min="9" max="9" width="12.5703125" style="20" bestFit="1" customWidth="1"/>
    <col min="10" max="10" width="13" style="20" customWidth="1"/>
    <col min="11" max="11" width="11" style="20" bestFit="1" customWidth="1"/>
    <col min="12" max="14" width="11.5703125" style="20" bestFit="1" customWidth="1"/>
    <col min="15" max="15" width="12.140625" style="20" bestFit="1" customWidth="1"/>
    <col min="16" max="16384" width="8.7109375" style="20"/>
  </cols>
  <sheetData>
    <row r="1" spans="1:8" x14ac:dyDescent="0.25">
      <c r="A1" s="21" t="s">
        <v>139</v>
      </c>
    </row>
    <row r="2" spans="1:8" x14ac:dyDescent="0.25">
      <c r="A2" s="6" t="s">
        <v>140</v>
      </c>
    </row>
    <row r="3" spans="1:8" x14ac:dyDescent="0.25">
      <c r="A3" s="23" t="s">
        <v>141</v>
      </c>
    </row>
    <row r="4" spans="1:8" x14ac:dyDescent="0.25">
      <c r="A4" s="24" t="s">
        <v>152</v>
      </c>
    </row>
    <row r="6" spans="1:8" x14ac:dyDescent="0.25">
      <c r="A6" s="20" t="s">
        <v>99</v>
      </c>
    </row>
    <row r="9" spans="1:8" x14ac:dyDescent="0.25">
      <c r="A9" s="3" t="s">
        <v>25</v>
      </c>
      <c r="B9" s="3"/>
      <c r="C9" s="3"/>
      <c r="D9" s="3"/>
    </row>
    <row r="11" spans="1:8" x14ac:dyDescent="0.25">
      <c r="A11" s="28" t="s">
        <v>0</v>
      </c>
      <c r="B11" s="28" t="s">
        <v>50</v>
      </c>
      <c r="C11" s="28" t="s">
        <v>50</v>
      </c>
      <c r="D11" s="28" t="s">
        <v>22</v>
      </c>
      <c r="F11" s="28" t="s">
        <v>51</v>
      </c>
      <c r="G11" s="28" t="s">
        <v>51</v>
      </c>
      <c r="H11" s="28" t="s">
        <v>42</v>
      </c>
    </row>
    <row r="12" spans="1:8" x14ac:dyDescent="0.25">
      <c r="A12" s="2" t="s">
        <v>1</v>
      </c>
      <c r="B12" s="2" t="s">
        <v>23</v>
      </c>
      <c r="C12" s="2" t="s">
        <v>24</v>
      </c>
      <c r="D12" s="2" t="s">
        <v>26</v>
      </c>
      <c r="F12" s="2" t="s">
        <v>23</v>
      </c>
      <c r="G12" s="2" t="s">
        <v>24</v>
      </c>
      <c r="H12" s="2" t="s">
        <v>26</v>
      </c>
    </row>
    <row r="13" spans="1:8" x14ac:dyDescent="0.25">
      <c r="D13" s="35"/>
      <c r="H13" s="36"/>
    </row>
    <row r="14" spans="1:8" x14ac:dyDescent="0.25">
      <c r="A14" s="20">
        <v>1</v>
      </c>
      <c r="B14" s="30"/>
      <c r="C14" s="35"/>
      <c r="D14" s="35"/>
      <c r="E14" s="45"/>
      <c r="F14" s="36"/>
      <c r="G14" s="36"/>
      <c r="H14" s="36"/>
    </row>
    <row r="15" spans="1:8" x14ac:dyDescent="0.25">
      <c r="A15" s="20">
        <v>2</v>
      </c>
      <c r="B15" s="30"/>
      <c r="C15" s="35"/>
      <c r="D15" s="35"/>
      <c r="E15" s="45"/>
      <c r="F15" s="36"/>
      <c r="G15" s="36"/>
      <c r="H15" s="36"/>
    </row>
    <row r="16" spans="1:8" x14ac:dyDescent="0.25">
      <c r="A16" s="20">
        <v>3</v>
      </c>
      <c r="B16" s="30"/>
      <c r="C16" s="35"/>
      <c r="D16" s="35"/>
      <c r="E16" s="45"/>
      <c r="F16" s="36"/>
      <c r="G16" s="36"/>
      <c r="H16" s="36"/>
    </row>
    <row r="17" spans="1:15" x14ac:dyDescent="0.25">
      <c r="A17" s="20">
        <v>4</v>
      </c>
      <c r="B17" s="30"/>
      <c r="C17" s="35"/>
      <c r="D17" s="35"/>
      <c r="E17" s="45"/>
      <c r="F17" s="36"/>
      <c r="G17" s="36"/>
      <c r="H17" s="36"/>
    </row>
    <row r="18" spans="1:15" x14ac:dyDescent="0.25">
      <c r="A18" s="20">
        <v>5</v>
      </c>
      <c r="B18" s="30"/>
      <c r="C18" s="35"/>
      <c r="D18" s="35"/>
      <c r="E18" s="45"/>
      <c r="F18" s="36"/>
      <c r="G18" s="36"/>
      <c r="H18" s="36"/>
    </row>
    <row r="19" spans="1:15" x14ac:dyDescent="0.25">
      <c r="A19" s="20">
        <v>6</v>
      </c>
      <c r="B19" s="30"/>
      <c r="C19" s="35"/>
      <c r="D19" s="35">
        <f>'Actuarial balances'!D209</f>
        <v>520.70074055156795</v>
      </c>
      <c r="E19" s="45"/>
      <c r="F19" s="36"/>
      <c r="G19" s="36"/>
      <c r="H19" s="35">
        <f>'Actuarial balances'!H209</f>
        <v>52070.074055156794</v>
      </c>
    </row>
    <row r="20" spans="1:15" x14ac:dyDescent="0.25">
      <c r="A20" s="20">
        <v>7</v>
      </c>
      <c r="B20" s="35">
        <f>'Actuarial balances'!B210</f>
        <v>0.86384252857505128</v>
      </c>
      <c r="C20" s="35">
        <f>'Actuarial balances'!C210</f>
        <v>31.19021388137957</v>
      </c>
      <c r="D20" s="35">
        <f>'Actuarial balances'!D210</f>
        <v>488.64668414161326</v>
      </c>
      <c r="E20" s="45"/>
      <c r="F20" s="35">
        <f>'Actuarial balances'!F210</f>
        <v>86.384252857505132</v>
      </c>
      <c r="G20" s="35">
        <f>'Actuarial balances'!G210</f>
        <v>3119.0213881379568</v>
      </c>
      <c r="H20" s="35">
        <f>'Actuarial balances'!H210</f>
        <v>48864.668414161337</v>
      </c>
    </row>
    <row r="21" spans="1:15" x14ac:dyDescent="0.25">
      <c r="A21" s="20">
        <v>8</v>
      </c>
      <c r="B21" s="35">
        <f>'Actuarial balances'!B211</f>
        <v>0.91328065266067515</v>
      </c>
      <c r="C21" s="35">
        <f>'Actuarial balances'!C211</f>
        <v>24.38667017444763</v>
      </c>
      <c r="D21" s="35">
        <f>'Actuarial balances'!D211</f>
        <v>463.34673331450495</v>
      </c>
      <c r="E21" s="45"/>
      <c r="F21" s="35">
        <f>'Actuarial balances'!F211</f>
        <v>91.328065266067512</v>
      </c>
      <c r="G21" s="35">
        <f>'Actuarial balances'!G211</f>
        <v>2438.6670174447631</v>
      </c>
      <c r="H21" s="35">
        <f>'Actuarial balances'!H211</f>
        <v>46334.673331450504</v>
      </c>
    </row>
    <row r="22" spans="1:15" x14ac:dyDescent="0.25">
      <c r="A22" s="20">
        <v>9</v>
      </c>
      <c r="B22" s="35">
        <f>'Actuarial balances'!B212</f>
        <v>0.97789328066026271</v>
      </c>
      <c r="C22" s="35">
        <f>'Actuarial balances'!C212</f>
        <v>18.494753601353786</v>
      </c>
      <c r="D22" s="35">
        <f>'Actuarial balances'!D212</f>
        <v>443.87408643249086</v>
      </c>
      <c r="E22" s="45"/>
      <c r="F22" s="35">
        <f>'Actuarial balances'!F212</f>
        <v>97.789328066026272</v>
      </c>
      <c r="G22" s="35">
        <f>'Actuarial balances'!G212</f>
        <v>1849.4753601353787</v>
      </c>
      <c r="H22" s="35">
        <f>'Actuarial balances'!H212</f>
        <v>44387.408643249095</v>
      </c>
    </row>
    <row r="23" spans="1:15" x14ac:dyDescent="0.25">
      <c r="A23" s="20">
        <v>10</v>
      </c>
      <c r="B23" s="35">
        <f>'Actuarial balances'!B213</f>
        <v>1.0439918512892186</v>
      </c>
      <c r="C23" s="35">
        <f>'Actuarial balances'!C213</f>
        <v>442.83009458120165</v>
      </c>
      <c r="D23" s="35">
        <f>'Actuarial balances'!D213</f>
        <v>0</v>
      </c>
      <c r="E23" s="45"/>
      <c r="F23" s="35">
        <f>'Actuarial balances'!F213</f>
        <v>104.39918512892186</v>
      </c>
      <c r="G23" s="35">
        <f>'Actuarial balances'!G213</f>
        <v>44283.009458120163</v>
      </c>
      <c r="H23" s="35">
        <f>'Actuarial balances'!H213</f>
        <v>0</v>
      </c>
    </row>
    <row r="24" spans="1:15" x14ac:dyDescent="0.25">
      <c r="B24" s="35"/>
      <c r="C24" s="35"/>
      <c r="D24" s="35"/>
      <c r="E24" s="35"/>
      <c r="F24" s="35"/>
      <c r="G24" s="35"/>
      <c r="H24" s="35"/>
    </row>
    <row r="26" spans="1:15" x14ac:dyDescent="0.25">
      <c r="A26" s="3" t="s">
        <v>136</v>
      </c>
    </row>
    <row r="28" spans="1:15" x14ac:dyDescent="0.25">
      <c r="B28" s="38"/>
    </row>
    <row r="29" spans="1:15" x14ac:dyDescent="0.25">
      <c r="C29" s="28" t="s">
        <v>47</v>
      </c>
      <c r="D29" s="28" t="s">
        <v>48</v>
      </c>
      <c r="G29" s="28"/>
      <c r="H29" s="28" t="s">
        <v>49</v>
      </c>
      <c r="I29" s="28"/>
      <c r="J29" s="28" t="s">
        <v>77</v>
      </c>
      <c r="O29" s="28" t="s">
        <v>39</v>
      </c>
    </row>
    <row r="30" spans="1:15" x14ac:dyDescent="0.25">
      <c r="A30" s="28" t="s">
        <v>0</v>
      </c>
      <c r="B30" s="28" t="s">
        <v>39</v>
      </c>
      <c r="C30" s="28" t="s">
        <v>38</v>
      </c>
      <c r="D30" s="28" t="s">
        <v>38</v>
      </c>
      <c r="F30" s="28"/>
      <c r="G30" s="28" t="s">
        <v>7</v>
      </c>
      <c r="H30" s="28" t="s">
        <v>7</v>
      </c>
      <c r="I30" s="28" t="s">
        <v>76</v>
      </c>
      <c r="J30" s="28" t="s">
        <v>76</v>
      </c>
      <c r="K30" s="28" t="s">
        <v>31</v>
      </c>
      <c r="L30" s="28" t="s">
        <v>8</v>
      </c>
      <c r="M30" s="28" t="s">
        <v>10</v>
      </c>
      <c r="N30" s="28" t="s">
        <v>53</v>
      </c>
      <c r="O30" s="28" t="s">
        <v>119</v>
      </c>
    </row>
    <row r="31" spans="1:15" x14ac:dyDescent="0.25">
      <c r="A31" s="2" t="s">
        <v>1</v>
      </c>
      <c r="B31" s="2" t="s">
        <v>46</v>
      </c>
      <c r="C31" s="2" t="s">
        <v>44</v>
      </c>
      <c r="D31" s="2" t="s">
        <v>44</v>
      </c>
      <c r="E31" s="2" t="s">
        <v>4</v>
      </c>
      <c r="F31" s="2" t="s">
        <v>45</v>
      </c>
      <c r="G31" s="2" t="s">
        <v>5</v>
      </c>
      <c r="H31" s="2" t="s">
        <v>5</v>
      </c>
      <c r="I31" s="2" t="s">
        <v>5</v>
      </c>
      <c r="J31" s="2" t="s">
        <v>5</v>
      </c>
      <c r="K31" s="2" t="s">
        <v>32</v>
      </c>
      <c r="L31" s="2" t="s">
        <v>32</v>
      </c>
      <c r="M31" s="2" t="s">
        <v>32</v>
      </c>
      <c r="N31" s="2" t="s">
        <v>32</v>
      </c>
      <c r="O31" s="2" t="s">
        <v>120</v>
      </c>
    </row>
    <row r="32" spans="1:15" x14ac:dyDescent="0.25">
      <c r="A32" s="28"/>
    </row>
    <row r="33" spans="1:15" x14ac:dyDescent="0.25">
      <c r="A33" s="28">
        <v>1</v>
      </c>
      <c r="B33" s="39"/>
      <c r="C33" s="40"/>
      <c r="D33" s="41"/>
      <c r="E33" s="27"/>
      <c r="F33" s="27"/>
      <c r="G33" s="27"/>
      <c r="H33" s="27"/>
      <c r="I33" s="27"/>
      <c r="J33" s="27"/>
      <c r="K33" s="27"/>
      <c r="L33" s="27"/>
      <c r="M33" s="27"/>
      <c r="N33" s="27"/>
    </row>
    <row r="34" spans="1:15" x14ac:dyDescent="0.25">
      <c r="A34" s="28">
        <v>2</v>
      </c>
      <c r="B34" s="39"/>
      <c r="C34" s="40"/>
      <c r="D34" s="40"/>
      <c r="E34" s="27"/>
      <c r="F34" s="27"/>
      <c r="G34" s="27"/>
      <c r="H34" s="27"/>
      <c r="I34" s="27"/>
      <c r="J34" s="27"/>
      <c r="K34" s="27"/>
      <c r="L34" s="27"/>
      <c r="M34" s="27"/>
      <c r="N34" s="27"/>
    </row>
    <row r="35" spans="1:15" x14ac:dyDescent="0.25">
      <c r="A35" s="28">
        <v>3</v>
      </c>
      <c r="B35" s="39"/>
      <c r="C35" s="40"/>
      <c r="D35" s="40"/>
      <c r="E35" s="27"/>
      <c r="F35" s="27"/>
      <c r="G35" s="27"/>
      <c r="H35" s="27"/>
      <c r="I35" s="27"/>
      <c r="J35" s="27"/>
      <c r="K35" s="27"/>
      <c r="L35" s="27"/>
      <c r="M35" s="27"/>
      <c r="N35" s="27"/>
    </row>
    <row r="36" spans="1:15" x14ac:dyDescent="0.25">
      <c r="A36" s="28">
        <v>4</v>
      </c>
      <c r="B36" s="39"/>
      <c r="C36" s="40"/>
      <c r="D36" s="40"/>
      <c r="E36" s="27"/>
      <c r="F36" s="27"/>
      <c r="G36" s="27"/>
      <c r="H36" s="27"/>
      <c r="I36" s="27"/>
      <c r="J36" s="27"/>
      <c r="K36" s="27"/>
      <c r="L36" s="27"/>
      <c r="M36" s="27"/>
      <c r="N36" s="27"/>
    </row>
    <row r="37" spans="1:15" x14ac:dyDescent="0.25">
      <c r="A37" s="28">
        <v>5</v>
      </c>
      <c r="B37" s="39"/>
      <c r="C37" s="40"/>
      <c r="D37" s="40"/>
      <c r="E37" s="27"/>
      <c r="F37" s="27"/>
      <c r="G37" s="27"/>
      <c r="H37" s="27"/>
      <c r="I37" s="27"/>
      <c r="J37" s="27"/>
      <c r="K37" s="27"/>
      <c r="L37" s="27"/>
      <c r="M37" s="27"/>
      <c r="N37" s="27"/>
    </row>
    <row r="38" spans="1:15" x14ac:dyDescent="0.25">
      <c r="A38" s="28">
        <v>6</v>
      </c>
      <c r="B38" s="39"/>
      <c r="C38" s="40"/>
      <c r="D38" s="40"/>
      <c r="E38" s="27"/>
      <c r="F38" s="27"/>
      <c r="G38" s="27"/>
      <c r="H38" s="27"/>
      <c r="I38" s="27"/>
      <c r="J38" s="27"/>
      <c r="K38" s="27"/>
      <c r="L38" s="27"/>
      <c r="M38" s="27"/>
      <c r="N38" s="27"/>
      <c r="O38" s="27">
        <f>'Actuarial balances pre-LDTI'!E268</f>
        <v>29620522.171529498</v>
      </c>
    </row>
    <row r="39" spans="1:15" x14ac:dyDescent="0.25">
      <c r="A39" s="28">
        <v>7</v>
      </c>
      <c r="B39" s="39">
        <f>'Actuarial balances pre-LDTI'!B40</f>
        <v>3.7500000000000006E-2</v>
      </c>
      <c r="C39" s="40">
        <v>1</v>
      </c>
      <c r="D39" s="41">
        <f>C40</f>
        <v>0.96385542168674687</v>
      </c>
      <c r="E39" s="27">
        <f>'Actuarial balances'!E228</f>
        <v>4686306.6649641115</v>
      </c>
      <c r="F39" s="27">
        <f>E39*C39</f>
        <v>4686306.6649641115</v>
      </c>
      <c r="G39" s="27">
        <f>'Actuarial balances'!G228</f>
        <v>20523.776199223859</v>
      </c>
      <c r="H39" s="27">
        <f t="shared" ref="H39:H42" si="0">C39*G39</f>
        <v>20523.776199223859</v>
      </c>
      <c r="I39" s="27">
        <f>'Actuarial balances'!I228</f>
        <v>863.84252857505123</v>
      </c>
      <c r="J39" s="27">
        <f t="shared" ref="J39:J42" si="1">I39*D39</f>
        <v>832.61930465065166</v>
      </c>
      <c r="K39" s="27">
        <f>'Actuarial balances'!K228</f>
        <v>86384.252857505126</v>
      </c>
      <c r="L39" s="27">
        <f>'Actuarial balances'!L228</f>
        <v>2027363.9022896718</v>
      </c>
      <c r="M39" s="27">
        <f t="shared" ref="M39:M42" si="2">K39+L39</f>
        <v>2113748.1551471772</v>
      </c>
      <c r="N39" s="27">
        <f t="shared" ref="N39:N42" si="3">D39*M39</f>
        <v>2037347.6194189657</v>
      </c>
    </row>
    <row r="40" spans="1:15" x14ac:dyDescent="0.25">
      <c r="A40" s="28">
        <v>8</v>
      </c>
      <c r="B40" s="39">
        <f>'Actuarial balances pre-LDTI'!B41</f>
        <v>3.7500000000000006E-2</v>
      </c>
      <c r="C40" s="40">
        <f t="shared" ref="C40:C42" si="4">C39/(1+B39)</f>
        <v>0.96385542168674687</v>
      </c>
      <c r="D40" s="47">
        <f>D39/(1+B40)</f>
        <v>0.92901727391493671</v>
      </c>
      <c r="E40" s="27">
        <f>'Actuarial balances'!E229</f>
        <v>4397820.15727452</v>
      </c>
      <c r="F40" s="27">
        <f t="shared" ref="F40:F42" si="5">E40*C40</f>
        <v>4238862.802192308</v>
      </c>
      <c r="G40" s="27">
        <f>'Actuarial balances'!G229</f>
        <v>19645.550491623559</v>
      </c>
      <c r="H40" s="27">
        <f t="shared" si="0"/>
        <v>18935.470353372104</v>
      </c>
      <c r="I40" s="27">
        <f>'Actuarial balances'!I229</f>
        <v>913.28065266067517</v>
      </c>
      <c r="J40" s="27">
        <f t="shared" si="1"/>
        <v>848.45350225407469</v>
      </c>
      <c r="K40" s="27">
        <f>'Actuarial balances'!K229</f>
        <v>91328.065266067511</v>
      </c>
      <c r="L40" s="27">
        <f>'Actuarial balances'!L229</f>
        <v>1853386.9332580201</v>
      </c>
      <c r="M40" s="27">
        <f t="shared" si="2"/>
        <v>1944714.9985240875</v>
      </c>
      <c r="N40" s="27">
        <f t="shared" si="3"/>
        <v>1806673.826470338</v>
      </c>
    </row>
    <row r="41" spans="1:15" x14ac:dyDescent="0.25">
      <c r="A41" s="28">
        <v>9</v>
      </c>
      <c r="B41" s="39">
        <f>'Actuarial balances pre-LDTI'!B42</f>
        <v>3.7500000000000006E-2</v>
      </c>
      <c r="C41" s="40">
        <f t="shared" si="4"/>
        <v>0.92901727391493671</v>
      </c>
      <c r="D41" s="47">
        <f t="shared" ref="D41:D42" si="6">D40/(1+B41)</f>
        <v>0.89543833630355341</v>
      </c>
      <c r="E41" s="27">
        <f>'Actuarial balances'!E230</f>
        <v>4170120.5998305455</v>
      </c>
      <c r="F41" s="27">
        <f t="shared" si="5"/>
        <v>3874114.0715510943</v>
      </c>
      <c r="G41" s="27">
        <f>'Actuarial balances'!G230</f>
        <v>19000.959136064317</v>
      </c>
      <c r="H41" s="27">
        <f t="shared" si="0"/>
        <v>17652.219258355584</v>
      </c>
      <c r="I41" s="27">
        <f>'Actuarial balances'!I230</f>
        <v>977.89328066026269</v>
      </c>
      <c r="J41" s="27">
        <f t="shared" si="1"/>
        <v>875.64313231684946</v>
      </c>
      <c r="K41" s="27">
        <f>'Actuarial balances'!K230</f>
        <v>97789.328066026268</v>
      </c>
      <c r="L41" s="27">
        <f>'Actuarial balances'!L230</f>
        <v>1609043.5633177795</v>
      </c>
      <c r="M41" s="27">
        <f t="shared" si="2"/>
        <v>1706832.8913838058</v>
      </c>
      <c r="N41" s="27">
        <f t="shared" si="3"/>
        <v>1528363.6046088987</v>
      </c>
    </row>
    <row r="42" spans="1:15" x14ac:dyDescent="0.25">
      <c r="A42" s="28">
        <v>10</v>
      </c>
      <c r="B42" s="39">
        <f>'Actuarial balances pre-LDTI'!B43</f>
        <v>3.7500000000000006E-2</v>
      </c>
      <c r="C42" s="40">
        <f t="shared" si="4"/>
        <v>0.89543833630355341</v>
      </c>
      <c r="D42" s="47">
        <f t="shared" si="6"/>
        <v>0.86307309523234055</v>
      </c>
      <c r="E42" s="27">
        <f>'Actuarial balances'!E231</f>
        <v>3994866.7778924187</v>
      </c>
      <c r="F42" s="27">
        <f t="shared" si="5"/>
        <v>3577156.8613503245</v>
      </c>
      <c r="G42" s="27">
        <f>'Actuarial balances'!G231</f>
        <v>18566.471773482055</v>
      </c>
      <c r="H42" s="27">
        <f t="shared" si="0"/>
        <v>16625.130595873656</v>
      </c>
      <c r="I42" s="27">
        <f>'Actuarial balances'!I231</f>
        <v>1043.9918512892186</v>
      </c>
      <c r="J42" s="27">
        <f t="shared" si="1"/>
        <v>901.04127848952726</v>
      </c>
      <c r="K42" s="27">
        <f>'Actuarial balances'!K231</f>
        <v>104399.18512892186</v>
      </c>
      <c r="L42" s="27">
        <f>'Actuarial balances'!L231</f>
        <v>44283009.45812016</v>
      </c>
      <c r="M42" s="27">
        <f t="shared" si="2"/>
        <v>44387408.64324908</v>
      </c>
      <c r="N42" s="27">
        <f t="shared" si="3"/>
        <v>38309578.16707173</v>
      </c>
    </row>
    <row r="43" spans="1:15" x14ac:dyDescent="0.25">
      <c r="B43" s="35"/>
      <c r="C43" s="35"/>
      <c r="D43" s="35"/>
      <c r="F43" s="27"/>
      <c r="G43" s="35"/>
      <c r="H43" s="35"/>
      <c r="I43" s="35"/>
      <c r="J43" s="35"/>
    </row>
    <row r="44" spans="1:15" x14ac:dyDescent="0.25">
      <c r="A44" s="28" t="s">
        <v>54</v>
      </c>
      <c r="B44" s="35"/>
      <c r="C44" s="35"/>
      <c r="D44" s="35"/>
      <c r="F44" s="27">
        <f>SUM(F33:F43)</f>
        <v>16376440.400057837</v>
      </c>
      <c r="G44" s="35"/>
      <c r="H44" s="27">
        <f>SUM(H33:H43)</f>
        <v>73736.596406825207</v>
      </c>
      <c r="I44" s="27"/>
      <c r="J44" s="27">
        <f>SUM(J33:J43)</f>
        <v>3457.7572177111033</v>
      </c>
      <c r="N44" s="42">
        <f>SUM(N33:N43)</f>
        <v>43681963.217569932</v>
      </c>
      <c r="O44" s="42">
        <f>-O38</f>
        <v>-29620522.171529498</v>
      </c>
    </row>
    <row r="45" spans="1:15" x14ac:dyDescent="0.25">
      <c r="A45" s="20" t="s">
        <v>55</v>
      </c>
      <c r="B45" s="35"/>
      <c r="C45" s="35"/>
      <c r="D45" s="35"/>
      <c r="G45" s="35"/>
      <c r="H45" s="31">
        <f>H44/F44</f>
        <v>4.5026021898241569E-3</v>
      </c>
      <c r="I45" s="31"/>
      <c r="J45" s="26">
        <f>J44/F44</f>
        <v>2.1114217334426908E-4</v>
      </c>
      <c r="K45" s="35"/>
      <c r="L45" s="35"/>
      <c r="N45" s="31">
        <f>N44/F44</f>
        <v>2.6673661766824286</v>
      </c>
      <c r="O45" s="31">
        <f>O44/F44</f>
        <v>-1.8087277483954869</v>
      </c>
    </row>
    <row r="46" spans="1:15" x14ac:dyDescent="0.25">
      <c r="B46" s="35"/>
      <c r="C46" s="35"/>
      <c r="D46" s="35"/>
      <c r="E46" s="35"/>
      <c r="F46" s="35"/>
      <c r="G46" s="35"/>
      <c r="H46" s="35"/>
      <c r="I46" s="35"/>
      <c r="J46" s="35"/>
    </row>
    <row r="47" spans="1:15" x14ac:dyDescent="0.25">
      <c r="A47" s="20" t="s">
        <v>56</v>
      </c>
      <c r="B47" s="35"/>
      <c r="C47" s="35"/>
      <c r="D47" s="35"/>
      <c r="E47" s="35"/>
      <c r="F47" s="37">
        <f>J45+N45+O45</f>
        <v>0.85884957046028609</v>
      </c>
      <c r="G47" s="35"/>
      <c r="H47" s="35"/>
      <c r="I47" s="35"/>
      <c r="J47" s="35"/>
    </row>
    <row r="48" spans="1:15" x14ac:dyDescent="0.25">
      <c r="B48" s="35"/>
      <c r="C48" s="35"/>
      <c r="D48" s="35"/>
      <c r="E48" s="35"/>
      <c r="F48" s="35"/>
      <c r="G48" s="35"/>
      <c r="H48" s="35"/>
      <c r="I48" s="35"/>
      <c r="J48" s="35"/>
    </row>
    <row r="49" spans="1:14" x14ac:dyDescent="0.25">
      <c r="A49" s="3" t="s">
        <v>101</v>
      </c>
      <c r="B49" s="35"/>
      <c r="C49" s="35"/>
      <c r="D49" s="35"/>
      <c r="E49" s="35"/>
      <c r="F49" s="35"/>
      <c r="G49" s="35"/>
      <c r="H49" s="35" t="s">
        <v>102</v>
      </c>
      <c r="I49" s="35"/>
      <c r="J49" s="35"/>
    </row>
    <row r="50" spans="1:14" x14ac:dyDescent="0.25">
      <c r="B50" s="35"/>
      <c r="C50" s="35"/>
      <c r="D50" s="35"/>
      <c r="E50" s="35"/>
      <c r="F50" s="35"/>
      <c r="G50" s="35"/>
      <c r="H50" s="35"/>
      <c r="I50" s="35"/>
      <c r="J50" s="35"/>
    </row>
    <row r="51" spans="1:14" x14ac:dyDescent="0.25">
      <c r="C51" s="28"/>
      <c r="D51" s="28"/>
      <c r="G51" s="28"/>
      <c r="H51" s="28"/>
      <c r="I51" s="28"/>
      <c r="J51" s="28"/>
    </row>
    <row r="52" spans="1:14" x14ac:dyDescent="0.25">
      <c r="A52" s="28" t="s">
        <v>0</v>
      </c>
      <c r="B52" s="28"/>
      <c r="C52" s="28" t="s">
        <v>59</v>
      </c>
      <c r="D52" s="28" t="s">
        <v>10</v>
      </c>
      <c r="E52" s="28" t="s">
        <v>76</v>
      </c>
      <c r="F52" s="28" t="s">
        <v>60</v>
      </c>
      <c r="G52" s="28"/>
      <c r="H52" s="28" t="s">
        <v>79</v>
      </c>
      <c r="I52" s="28" t="s">
        <v>80</v>
      </c>
      <c r="J52" s="28" t="s">
        <v>80</v>
      </c>
      <c r="K52" s="28" t="s">
        <v>82</v>
      </c>
      <c r="L52" s="28" t="s">
        <v>83</v>
      </c>
      <c r="M52" s="28"/>
      <c r="N52" s="28"/>
    </row>
    <row r="53" spans="1:14" x14ac:dyDescent="0.25">
      <c r="A53" s="2" t="s">
        <v>1</v>
      </c>
      <c r="B53" s="2" t="s">
        <v>58</v>
      </c>
      <c r="C53" s="2" t="s">
        <v>40</v>
      </c>
      <c r="D53" s="2" t="s">
        <v>32</v>
      </c>
      <c r="E53" s="2" t="s">
        <v>28</v>
      </c>
      <c r="F53" s="2" t="s">
        <v>39</v>
      </c>
      <c r="G53" s="2"/>
      <c r="H53" s="2" t="s">
        <v>1</v>
      </c>
      <c r="I53" s="2" t="s">
        <v>81</v>
      </c>
      <c r="J53" s="2" t="s">
        <v>32</v>
      </c>
      <c r="K53" s="2" t="s">
        <v>28</v>
      </c>
      <c r="L53" s="2" t="s">
        <v>39</v>
      </c>
      <c r="M53" s="2"/>
      <c r="N53" s="2"/>
    </row>
    <row r="54" spans="1:14" x14ac:dyDescent="0.25">
      <c r="A54" s="28"/>
      <c r="F54" s="27">
        <v>0</v>
      </c>
      <c r="H54" s="28">
        <v>0</v>
      </c>
      <c r="I54" s="27"/>
      <c r="J54" s="27"/>
      <c r="K54" s="27"/>
      <c r="L54" s="27"/>
    </row>
    <row r="55" spans="1:14" x14ac:dyDescent="0.25">
      <c r="A55" s="28">
        <v>1</v>
      </c>
      <c r="B55" s="27"/>
      <c r="C55" s="30"/>
      <c r="D55" s="27"/>
      <c r="E55" s="27"/>
      <c r="F55" s="27"/>
      <c r="G55" s="42"/>
      <c r="H55" s="28">
        <v>1</v>
      </c>
      <c r="I55" s="27"/>
      <c r="J55" s="27"/>
      <c r="K55" s="27"/>
      <c r="L55" s="27"/>
      <c r="M55" s="27"/>
      <c r="N55" s="27"/>
    </row>
    <row r="56" spans="1:14" x14ac:dyDescent="0.25">
      <c r="A56" s="28">
        <v>2</v>
      </c>
      <c r="B56" s="27"/>
      <c r="C56" s="30"/>
      <c r="D56" s="27"/>
      <c r="E56" s="27"/>
      <c r="F56" s="27"/>
      <c r="G56" s="42"/>
      <c r="H56" s="28">
        <v>2</v>
      </c>
      <c r="I56" s="27"/>
      <c r="J56" s="27"/>
      <c r="K56" s="27"/>
      <c r="L56" s="27"/>
      <c r="M56" s="27"/>
      <c r="N56" s="27"/>
    </row>
    <row r="57" spans="1:14" x14ac:dyDescent="0.25">
      <c r="A57" s="28">
        <v>3</v>
      </c>
      <c r="B57" s="27"/>
      <c r="C57" s="30"/>
      <c r="D57" s="27"/>
      <c r="E57" s="27"/>
      <c r="F57" s="27"/>
      <c r="G57" s="42"/>
      <c r="H57" s="28">
        <v>3</v>
      </c>
      <c r="I57" s="27"/>
      <c r="J57" s="27"/>
      <c r="K57" s="27"/>
      <c r="L57" s="27"/>
      <c r="M57" s="27"/>
      <c r="N57" s="27"/>
    </row>
    <row r="58" spans="1:14" x14ac:dyDescent="0.25">
      <c r="A58" s="28">
        <v>4</v>
      </c>
      <c r="B58" s="27"/>
      <c r="C58" s="30"/>
      <c r="D58" s="27"/>
      <c r="E58" s="27"/>
      <c r="F58" s="27"/>
      <c r="G58" s="42"/>
      <c r="H58" s="28">
        <v>4</v>
      </c>
      <c r="I58" s="27"/>
      <c r="J58" s="27"/>
      <c r="K58" s="27"/>
      <c r="L58" s="27"/>
      <c r="M58" s="27"/>
      <c r="N58" s="27"/>
    </row>
    <row r="59" spans="1:14" x14ac:dyDescent="0.25">
      <c r="A59" s="28">
        <v>5</v>
      </c>
      <c r="B59" s="27"/>
      <c r="C59" s="30"/>
      <c r="D59" s="27"/>
      <c r="E59" s="27"/>
      <c r="F59" s="27"/>
      <c r="G59" s="42"/>
      <c r="H59" s="28">
        <v>5</v>
      </c>
      <c r="I59" s="27"/>
      <c r="J59" s="27"/>
      <c r="K59" s="27"/>
      <c r="L59" s="27"/>
      <c r="M59" s="27"/>
      <c r="N59" s="27"/>
    </row>
    <row r="60" spans="1:14" x14ac:dyDescent="0.25">
      <c r="A60" s="28">
        <v>6</v>
      </c>
      <c r="B60" s="27"/>
      <c r="C60" s="30"/>
      <c r="D60" s="27"/>
      <c r="E60" s="27"/>
      <c r="F60" s="27">
        <f>O38</f>
        <v>29620522.171529498</v>
      </c>
      <c r="G60" s="42"/>
      <c r="H60" s="28">
        <v>6</v>
      </c>
      <c r="I60" s="27"/>
      <c r="J60" s="27"/>
      <c r="K60" s="27"/>
      <c r="L60" s="27">
        <f>O38</f>
        <v>29620522.171529498</v>
      </c>
      <c r="M60" s="27"/>
      <c r="N60" s="27"/>
    </row>
    <row r="61" spans="1:14" x14ac:dyDescent="0.25">
      <c r="A61" s="28">
        <v>7</v>
      </c>
      <c r="B61" s="27">
        <f>E39*$F$47</f>
        <v>4024832.4662496028</v>
      </c>
      <c r="C61" s="27">
        <f t="shared" ref="C61:C64" si="7">B39*(F60+B61)</f>
        <v>1261700.7989167166</v>
      </c>
      <c r="D61" s="27">
        <f t="shared" ref="D61:D64" si="8">-M39</f>
        <v>-2113748.1551471772</v>
      </c>
      <c r="E61" s="27">
        <f t="shared" ref="E61:E64" si="9">-I39</f>
        <v>-863.84252857505123</v>
      </c>
      <c r="F61" s="27">
        <f t="shared" ref="F61:F64" si="10">F60+SUM(B61:E61)</f>
        <v>32792443.439020067</v>
      </c>
      <c r="G61" s="42"/>
      <c r="H61" s="28">
        <v>7</v>
      </c>
      <c r="I61" s="51">
        <f>NPV($B$39,B62:B$65)*(1+$B$39)</f>
        <v>10416568.824646369</v>
      </c>
      <c r="J61" s="51">
        <f>NPV($B$39,D62:D$65)</f>
        <v>-43206288.683081627</v>
      </c>
      <c r="K61" s="51">
        <f>NPV($B$39,E62:E$65)</f>
        <v>-2723.5805848002187</v>
      </c>
      <c r="L61" s="27">
        <f t="shared" ref="L61:L64" si="11">-SUM(I61:K61)</f>
        <v>32792443.43902006</v>
      </c>
      <c r="M61" s="27"/>
      <c r="N61" s="32"/>
    </row>
    <row r="62" spans="1:14" x14ac:dyDescent="0.25">
      <c r="A62" s="28">
        <v>8</v>
      </c>
      <c r="B62" s="27">
        <f t="shared" ref="B62:B64" si="12">E40*$F$47</f>
        <v>3777065.9530368093</v>
      </c>
      <c r="C62" s="27">
        <f t="shared" si="7"/>
        <v>1371356.602202133</v>
      </c>
      <c r="D62" s="27">
        <f t="shared" si="8"/>
        <v>-1944714.9985240875</v>
      </c>
      <c r="E62" s="27">
        <f t="shared" si="9"/>
        <v>-913.28065266067517</v>
      </c>
      <c r="F62" s="27">
        <f t="shared" si="10"/>
        <v>35995237.715082258</v>
      </c>
      <c r="G62" s="42"/>
      <c r="H62" s="28">
        <v>8</v>
      </c>
      <c r="I62" s="51">
        <f>NPV($B$39,B63:B$65)*(1+$B$39)</f>
        <v>6888484.2292949185</v>
      </c>
      <c r="J62" s="51">
        <f>NPV($B$39,D63:D$65)</f>
        <v>-42881809.510173105</v>
      </c>
      <c r="K62" s="51">
        <f>NPV($B$39,E63:E$65)</f>
        <v>-1912.4342040695517</v>
      </c>
      <c r="L62" s="27">
        <f t="shared" si="11"/>
        <v>35995237.715082258</v>
      </c>
      <c r="M62" s="27"/>
      <c r="N62" s="32"/>
    </row>
    <row r="63" spans="1:14" x14ac:dyDescent="0.25">
      <c r="A63" s="28">
        <v>9</v>
      </c>
      <c r="B63" s="27">
        <f t="shared" si="12"/>
        <v>3581506.2859320547</v>
      </c>
      <c r="C63" s="27">
        <f t="shared" si="7"/>
        <v>1484127.900038037</v>
      </c>
      <c r="D63" s="27">
        <f t="shared" si="8"/>
        <v>-1706832.8913838058</v>
      </c>
      <c r="E63" s="27">
        <f t="shared" si="9"/>
        <v>-977.89328066026269</v>
      </c>
      <c r="F63" s="27">
        <f t="shared" si="10"/>
        <v>39353061.116387881</v>
      </c>
      <c r="G63" s="42"/>
      <c r="H63" s="28">
        <v>9</v>
      </c>
      <c r="I63" s="51">
        <f>NPV($B$39,B64:B$65)*(1+$B$39)</f>
        <v>3430989.6162389708</v>
      </c>
      <c r="J63" s="51">
        <f>NPV($B$39,D64:D$65)</f>
        <v>-42783044.475420795</v>
      </c>
      <c r="K63" s="51">
        <f>NPV($B$39,E64:E$65)</f>
        <v>-1006.2572060618974</v>
      </c>
      <c r="L63" s="27">
        <f t="shared" si="11"/>
        <v>39353061.116387881</v>
      </c>
      <c r="M63" s="27"/>
      <c r="N63" s="32"/>
    </row>
    <row r="64" spans="1:14" x14ac:dyDescent="0.25">
      <c r="A64" s="28">
        <v>10</v>
      </c>
      <c r="B64" s="27">
        <f t="shared" si="12"/>
        <v>3430989.6162389708</v>
      </c>
      <c r="C64" s="27">
        <f t="shared" si="7"/>
        <v>1604401.9024735072</v>
      </c>
      <c r="D64" s="27">
        <f t="shared" si="8"/>
        <v>-44387408.64324908</v>
      </c>
      <c r="E64" s="27">
        <f t="shared" si="9"/>
        <v>-1043.9918512892186</v>
      </c>
      <c r="F64" s="27">
        <f t="shared" si="10"/>
        <v>0</v>
      </c>
      <c r="G64" s="42"/>
      <c r="H64" s="28">
        <v>10</v>
      </c>
      <c r="I64" s="51">
        <f>NPV($B$39,B65:B$65)*(1+$B$39)</f>
        <v>0</v>
      </c>
      <c r="J64" s="51">
        <f>NPV($B$39,D65:D$65)</f>
        <v>0</v>
      </c>
      <c r="K64" s="51">
        <f>NPV($B$39,E65:E$65)</f>
        <v>0</v>
      </c>
      <c r="L64" s="27">
        <f t="shared" si="11"/>
        <v>0</v>
      </c>
      <c r="M64" s="27"/>
      <c r="N64" s="27"/>
    </row>
    <row r="65" spans="2:13" x14ac:dyDescent="0.25">
      <c r="B65" s="35"/>
      <c r="C65" s="35"/>
      <c r="D65" s="35"/>
      <c r="E65" s="35"/>
      <c r="F65" s="35"/>
      <c r="G65" s="35"/>
      <c r="H65" s="35"/>
      <c r="I65" s="35"/>
      <c r="J65" s="35"/>
    </row>
    <row r="67" spans="2:13" x14ac:dyDescent="0.25">
      <c r="G67" s="20" t="s">
        <v>103</v>
      </c>
    </row>
    <row r="70" spans="2:13" x14ac:dyDescent="0.25">
      <c r="G70" s="28" t="s">
        <v>79</v>
      </c>
      <c r="H70" s="20" t="s">
        <v>106</v>
      </c>
      <c r="I70" s="28" t="s">
        <v>80</v>
      </c>
      <c r="J70" s="28" t="s">
        <v>80</v>
      </c>
      <c r="K70" s="28" t="s">
        <v>82</v>
      </c>
      <c r="L70" s="28" t="s">
        <v>83</v>
      </c>
      <c r="M70" s="28" t="s">
        <v>104</v>
      </c>
    </row>
    <row r="71" spans="2:13" x14ac:dyDescent="0.25">
      <c r="G71" s="2" t="s">
        <v>1</v>
      </c>
      <c r="H71" s="3" t="s">
        <v>107</v>
      </c>
      <c r="I71" s="2" t="s">
        <v>81</v>
      </c>
      <c r="J71" s="2" t="s">
        <v>32</v>
      </c>
      <c r="K71" s="2" t="s">
        <v>28</v>
      </c>
      <c r="L71" s="2" t="s">
        <v>39</v>
      </c>
      <c r="M71" s="2" t="s">
        <v>105</v>
      </c>
    </row>
    <row r="72" spans="2:13" x14ac:dyDescent="0.25">
      <c r="G72" s="28">
        <v>0</v>
      </c>
      <c r="I72" s="27"/>
      <c r="J72" s="27"/>
      <c r="K72" s="27"/>
      <c r="L72" s="27"/>
    </row>
    <row r="73" spans="2:13" x14ac:dyDescent="0.25">
      <c r="G73" s="28">
        <v>1</v>
      </c>
      <c r="I73" s="27"/>
      <c r="J73" s="27"/>
      <c r="K73" s="27"/>
      <c r="L73" s="27"/>
    </row>
    <row r="74" spans="2:13" x14ac:dyDescent="0.25">
      <c r="G74" s="28">
        <v>2</v>
      </c>
      <c r="I74" s="27"/>
      <c r="J74" s="27"/>
      <c r="K74" s="27"/>
      <c r="L74" s="27"/>
    </row>
    <row r="75" spans="2:13" x14ac:dyDescent="0.25">
      <c r="G75" s="28">
        <v>3</v>
      </c>
      <c r="I75" s="27"/>
      <c r="J75" s="27"/>
      <c r="K75" s="27"/>
      <c r="L75" s="27"/>
    </row>
    <row r="76" spans="2:13" x14ac:dyDescent="0.25">
      <c r="G76" s="28">
        <v>4</v>
      </c>
      <c r="I76" s="27"/>
      <c r="J76" s="27"/>
      <c r="K76" s="27"/>
      <c r="L76" s="27"/>
    </row>
    <row r="77" spans="2:13" x14ac:dyDescent="0.25">
      <c r="G77" s="28">
        <v>5</v>
      </c>
      <c r="I77" s="27"/>
      <c r="J77" s="27"/>
      <c r="K77" s="27"/>
      <c r="L77" s="27"/>
    </row>
    <row r="78" spans="2:13" x14ac:dyDescent="0.25">
      <c r="G78" s="28">
        <v>6</v>
      </c>
      <c r="H78" s="39">
        <f>Input!D65</f>
        <v>0.04</v>
      </c>
      <c r="I78" s="27">
        <f>NPV(H78,B61:B$65)*(1+H78)</f>
        <v>14018067.815956697</v>
      </c>
      <c r="J78" s="27">
        <f>NPV($H78,D61:D$65)</f>
        <v>-43290359.646112569</v>
      </c>
      <c r="K78" s="27">
        <f>NPV($H78,E61:E$65)</f>
        <v>-3436.7492931425181</v>
      </c>
      <c r="L78" s="27">
        <f>-SUM(I78:K78)</f>
        <v>29275728.579449013</v>
      </c>
      <c r="M78" s="42">
        <f>L78-L60</f>
        <v>-344793.59208048508</v>
      </c>
    </row>
    <row r="79" spans="2:13" x14ac:dyDescent="0.25">
      <c r="G79" s="28">
        <v>7</v>
      </c>
      <c r="H79" s="39">
        <f>Input!D66</f>
        <v>0.04</v>
      </c>
      <c r="I79" s="27">
        <f>NPV(H79,B62:B$65)*(1+H79)</f>
        <v>10392964.763695378</v>
      </c>
      <c r="J79" s="27">
        <f>NPV($H79,D62:D$65)</f>
        <v>-42908225.876809895</v>
      </c>
      <c r="K79" s="27">
        <f>NPV($H79,E62:E$65)</f>
        <v>-2710.3767362931676</v>
      </c>
      <c r="L79" s="27">
        <f>-SUM(I79:K79)</f>
        <v>32517971.489850812</v>
      </c>
      <c r="M79" s="42">
        <f t="shared" ref="M79:M82" si="13">L79-L61</f>
        <v>-274471.94916924834</v>
      </c>
    </row>
    <row r="80" spans="2:13" x14ac:dyDescent="0.25">
      <c r="G80" s="28">
        <v>8</v>
      </c>
      <c r="H80" s="39">
        <f>Input!D67</f>
        <v>0.04</v>
      </c>
      <c r="I80" s="27">
        <f>NPV(H80,B63:B$65)*(1+H80)</f>
        <v>6880534.7630849108</v>
      </c>
      <c r="J80" s="27">
        <f>NPV($H80,D63:D$65)</f>
        <v>-42679839.913358204</v>
      </c>
      <c r="K80" s="27">
        <f>NPV($H80,E63:E$65)</f>
        <v>-1905.5111530842194</v>
      </c>
      <c r="L80" s="27">
        <f>-SUM(I80:K80)</f>
        <v>35801210.66142638</v>
      </c>
      <c r="M80" s="42">
        <f t="shared" si="13"/>
        <v>-194027.05365587771</v>
      </c>
    </row>
    <row r="81" spans="1:13" x14ac:dyDescent="0.25">
      <c r="G81" s="28">
        <v>9</v>
      </c>
      <c r="H81" s="39">
        <f>Input!D68</f>
        <v>0.04</v>
      </c>
      <c r="I81" s="27">
        <f>NPV(H81,B64:B$65)*(1+H81)</f>
        <v>3430989.6162389708</v>
      </c>
      <c r="J81" s="27">
        <f>NPV($H81,D64:D$65)</f>
        <v>-42680200.618508726</v>
      </c>
      <c r="K81" s="27">
        <f>NPV($H81,E64:E$65)</f>
        <v>-1003.8383185473256</v>
      </c>
      <c r="L81" s="27">
        <f>-SUM(I81:K81)</f>
        <v>39250214.840588301</v>
      </c>
      <c r="M81" s="42">
        <f t="shared" si="13"/>
        <v>-102846.27579957992</v>
      </c>
    </row>
    <row r="82" spans="1:13" x14ac:dyDescent="0.25">
      <c r="G82" s="28">
        <v>10</v>
      </c>
      <c r="H82" s="39">
        <f>Input!D69</f>
        <v>0.04</v>
      </c>
      <c r="I82" s="27">
        <f>NPV(H82,B65:B$65)*(1+H82)</f>
        <v>0</v>
      </c>
      <c r="J82" s="27">
        <f>NPV($H82,D65:D$65)</f>
        <v>0</v>
      </c>
      <c r="K82" s="27">
        <f>NPV($H82,E65:E$65)</f>
        <v>0</v>
      </c>
      <c r="L82" s="27">
        <f>-SUM(I82:K82)</f>
        <v>0</v>
      </c>
      <c r="M82" s="42">
        <f t="shared" si="13"/>
        <v>0</v>
      </c>
    </row>
    <row r="83" spans="1:13" x14ac:dyDescent="0.25">
      <c r="A83" s="35"/>
      <c r="B83" s="35"/>
      <c r="C83" s="35"/>
    </row>
    <row r="86" spans="1:13" x14ac:dyDescent="0.25">
      <c r="A86" s="3" t="s">
        <v>9</v>
      </c>
    </row>
    <row r="87" spans="1:13" x14ac:dyDescent="0.25">
      <c r="A87" s="3"/>
    </row>
    <row r="88" spans="1:13" x14ac:dyDescent="0.25">
      <c r="A88" s="3"/>
    </row>
    <row r="89" spans="1:13" x14ac:dyDescent="0.25">
      <c r="B89" s="28"/>
      <c r="C89" s="28" t="s">
        <v>17</v>
      </c>
      <c r="D89" s="28" t="s">
        <v>10</v>
      </c>
      <c r="G89" s="28" t="s">
        <v>11</v>
      </c>
      <c r="H89" s="28" t="s">
        <v>11</v>
      </c>
    </row>
    <row r="90" spans="1:13" x14ac:dyDescent="0.25">
      <c r="A90" s="28" t="s">
        <v>0</v>
      </c>
      <c r="B90" s="28" t="s">
        <v>17</v>
      </c>
      <c r="C90" s="28" t="s">
        <v>27</v>
      </c>
      <c r="D90" s="28" t="s">
        <v>17</v>
      </c>
      <c r="E90" s="28" t="s">
        <v>100</v>
      </c>
      <c r="F90" s="28" t="s">
        <v>42</v>
      </c>
      <c r="G90" s="28" t="s">
        <v>67</v>
      </c>
      <c r="H90" s="28" t="s">
        <v>65</v>
      </c>
    </row>
    <row r="91" spans="1:13" x14ac:dyDescent="0.25">
      <c r="A91" s="2" t="s">
        <v>1</v>
      </c>
      <c r="B91" s="2" t="s">
        <v>6</v>
      </c>
      <c r="C91" s="2" t="s">
        <v>28</v>
      </c>
      <c r="D91" s="2" t="s">
        <v>28</v>
      </c>
      <c r="E91" s="2" t="s">
        <v>9</v>
      </c>
      <c r="F91" s="2" t="s">
        <v>137</v>
      </c>
      <c r="G91" s="2" t="s">
        <v>108</v>
      </c>
      <c r="H91" s="2" t="s">
        <v>1</v>
      </c>
    </row>
    <row r="92" spans="1:13" x14ac:dyDescent="0.25">
      <c r="F92" s="36"/>
    </row>
    <row r="93" spans="1:13" x14ac:dyDescent="0.25">
      <c r="A93" s="20">
        <v>1</v>
      </c>
      <c r="B93" s="36"/>
      <c r="C93" s="36"/>
      <c r="D93" s="36"/>
      <c r="F93" s="36"/>
      <c r="G93" s="31"/>
      <c r="H93" s="36"/>
    </row>
    <row r="94" spans="1:13" x14ac:dyDescent="0.25">
      <c r="A94" s="20">
        <v>2</v>
      </c>
      <c r="B94" s="36"/>
      <c r="C94" s="36"/>
      <c r="D94" s="36"/>
      <c r="F94" s="36"/>
      <c r="G94" s="31"/>
      <c r="H94" s="36"/>
    </row>
    <row r="95" spans="1:13" x14ac:dyDescent="0.25">
      <c r="A95" s="20">
        <v>3</v>
      </c>
      <c r="B95" s="36"/>
      <c r="C95" s="36"/>
      <c r="D95" s="36"/>
      <c r="F95" s="36"/>
      <c r="G95" s="31"/>
      <c r="H95" s="36"/>
    </row>
    <row r="96" spans="1:13" x14ac:dyDescent="0.25">
      <c r="A96" s="20">
        <v>4</v>
      </c>
      <c r="B96" s="36"/>
      <c r="C96" s="36"/>
      <c r="D96" s="36"/>
      <c r="F96" s="36"/>
      <c r="G96" s="31"/>
      <c r="H96" s="36"/>
    </row>
    <row r="97" spans="1:10" x14ac:dyDescent="0.25">
      <c r="A97" s="20">
        <v>5</v>
      </c>
      <c r="B97" s="36"/>
      <c r="C97" s="36"/>
      <c r="D97" s="36"/>
      <c r="F97" s="36"/>
      <c r="G97" s="31"/>
      <c r="H97" s="36"/>
    </row>
    <row r="98" spans="1:10" x14ac:dyDescent="0.25">
      <c r="A98" s="20">
        <v>6</v>
      </c>
      <c r="B98" s="36"/>
      <c r="C98" s="36"/>
      <c r="D98" s="36"/>
      <c r="E98" s="36">
        <f>'Actuarial balances pre-LDTI'!E286</f>
        <v>2057673.0875821009</v>
      </c>
      <c r="F98" s="36"/>
      <c r="G98" s="31"/>
      <c r="H98" s="36"/>
    </row>
    <row r="99" spans="1:10" x14ac:dyDescent="0.25">
      <c r="A99" s="20">
        <v>7</v>
      </c>
      <c r="B99" s="36">
        <f>'Actuarial balances'!B268</f>
        <v>0</v>
      </c>
      <c r="C99" s="36">
        <f>'Actuarial balances'!C268</f>
        <v>0</v>
      </c>
      <c r="D99" s="36">
        <f>'Actuarial balances'!D268</f>
        <v>0</v>
      </c>
      <c r="F99" s="36">
        <f>'Actuarial balances pre-LDTI'!D268</f>
        <v>52070.074055156794</v>
      </c>
      <c r="G99" s="31">
        <f>F99/F$104</f>
        <v>0.2716839027580063</v>
      </c>
      <c r="H99" s="36">
        <f>$E$98*G99</f>
        <v>559036.65503442206</v>
      </c>
      <c r="J99" s="36"/>
    </row>
    <row r="100" spans="1:10" x14ac:dyDescent="0.25">
      <c r="A100" s="20">
        <v>8</v>
      </c>
      <c r="B100" s="36">
        <f>'Actuarial balances'!B269</f>
        <v>0</v>
      </c>
      <c r="C100" s="36">
        <f>'Actuarial balances'!C269</f>
        <v>0</v>
      </c>
      <c r="D100" s="36">
        <f>'Actuarial balances'!D269</f>
        <v>0</v>
      </c>
      <c r="F100" s="36">
        <f>'Actuarial balances pre-LDTI'!D269</f>
        <v>48864.668414161337</v>
      </c>
      <c r="G100" s="31">
        <f t="shared" ref="G100:G102" si="14">F100/F$104</f>
        <v>0.25495918841353093</v>
      </c>
      <c r="H100" s="36">
        <f t="shared" ref="H100:H102" si="15">$E$98*G100</f>
        <v>524622.66043029679</v>
      </c>
      <c r="J100" s="36"/>
    </row>
    <row r="101" spans="1:10" x14ac:dyDescent="0.25">
      <c r="A101" s="20">
        <v>9</v>
      </c>
      <c r="B101" s="36">
        <f>'Actuarial balances'!B270</f>
        <v>0</v>
      </c>
      <c r="C101" s="36">
        <f>'Actuarial balances'!C270</f>
        <v>0</v>
      </c>
      <c r="D101" s="36">
        <f>'Actuarial balances'!D270</f>
        <v>0</v>
      </c>
      <c r="F101" s="36">
        <f>'Actuarial balances pre-LDTI'!D270</f>
        <v>46334.673331450504</v>
      </c>
      <c r="G101" s="31">
        <f t="shared" si="14"/>
        <v>0.24175853620586674</v>
      </c>
      <c r="H101" s="36">
        <f t="shared" si="15"/>
        <v>497460.03364405496</v>
      </c>
      <c r="J101" s="36"/>
    </row>
    <row r="102" spans="1:10" x14ac:dyDescent="0.25">
      <c r="A102" s="20">
        <v>10</v>
      </c>
      <c r="B102" s="36">
        <f>'Actuarial balances'!B271</f>
        <v>0</v>
      </c>
      <c r="C102" s="36">
        <f>'Actuarial balances'!C271</f>
        <v>0</v>
      </c>
      <c r="D102" s="36">
        <f>'Actuarial balances'!D271</f>
        <v>0</v>
      </c>
      <c r="F102" s="36">
        <f>'Actuarial balances pre-LDTI'!D271</f>
        <v>44387.408643249095</v>
      </c>
      <c r="G102" s="31">
        <f t="shared" si="14"/>
        <v>0.23159837262259605</v>
      </c>
      <c r="H102" s="36">
        <f t="shared" si="15"/>
        <v>476553.73847332713</v>
      </c>
      <c r="J102" s="36"/>
    </row>
    <row r="103" spans="1:10" x14ac:dyDescent="0.25">
      <c r="B103" s="36"/>
      <c r="C103" s="36"/>
      <c r="D103" s="36"/>
      <c r="F103" s="36"/>
      <c r="G103" s="31"/>
      <c r="H103" s="36"/>
    </row>
    <row r="104" spans="1:10" x14ac:dyDescent="0.25">
      <c r="A104" s="28" t="s">
        <v>64</v>
      </c>
      <c r="B104" s="36"/>
      <c r="C104" s="36"/>
      <c r="D104" s="36"/>
      <c r="F104" s="36">
        <f>SUM(F97:F102)</f>
        <v>191656.82444401772</v>
      </c>
      <c r="G104" s="31"/>
      <c r="H104" s="36"/>
    </row>
    <row r="105" spans="1:10" x14ac:dyDescent="0.25">
      <c r="B105" s="36"/>
      <c r="C105" s="36"/>
      <c r="D105" s="36"/>
      <c r="E105" s="36"/>
      <c r="F105" s="31"/>
      <c r="G105" s="36"/>
    </row>
    <row r="106" spans="1:10" x14ac:dyDescent="0.25">
      <c r="A106" s="3" t="s">
        <v>29</v>
      </c>
      <c r="F106" s="31"/>
      <c r="G106" s="36"/>
    </row>
    <row r="107" spans="1:10" x14ac:dyDescent="0.25">
      <c r="A107" s="3"/>
    </row>
    <row r="108" spans="1:10" x14ac:dyDescent="0.25">
      <c r="B108" s="28"/>
      <c r="C108" s="28"/>
      <c r="D108" s="28" t="s">
        <v>9</v>
      </c>
    </row>
    <row r="109" spans="1:10" x14ac:dyDescent="0.25">
      <c r="B109" s="2" t="s">
        <v>30</v>
      </c>
      <c r="C109" s="2" t="s">
        <v>11</v>
      </c>
      <c r="D109" s="2" t="s">
        <v>26</v>
      </c>
      <c r="E109" s="5"/>
    </row>
    <row r="110" spans="1:10" x14ac:dyDescent="0.25">
      <c r="D110" s="36"/>
    </row>
    <row r="111" spans="1:10" x14ac:dyDescent="0.25">
      <c r="A111" s="20">
        <v>1</v>
      </c>
      <c r="B111" s="36"/>
      <c r="C111" s="36"/>
      <c r="D111" s="36"/>
    </row>
    <row r="112" spans="1:10" x14ac:dyDescent="0.25">
      <c r="A112" s="20">
        <v>2</v>
      </c>
      <c r="B112" s="36"/>
      <c r="C112" s="36"/>
      <c r="D112" s="36"/>
    </row>
    <row r="113" spans="1:4" x14ac:dyDescent="0.25">
      <c r="A113" s="20">
        <v>3</v>
      </c>
      <c r="B113" s="36"/>
      <c r="C113" s="36"/>
      <c r="D113" s="36"/>
    </row>
    <row r="114" spans="1:4" x14ac:dyDescent="0.25">
      <c r="A114" s="20">
        <v>4</v>
      </c>
      <c r="B114" s="36"/>
      <c r="C114" s="36"/>
      <c r="D114" s="36"/>
    </row>
    <row r="115" spans="1:4" x14ac:dyDescent="0.25">
      <c r="A115" s="20">
        <v>5</v>
      </c>
      <c r="B115" s="36"/>
      <c r="C115" s="36"/>
      <c r="D115" s="36"/>
    </row>
    <row r="116" spans="1:4" x14ac:dyDescent="0.25">
      <c r="A116" s="20">
        <v>6</v>
      </c>
      <c r="B116" s="36">
        <f t="shared" ref="B116:B120" si="16">D98</f>
        <v>0</v>
      </c>
      <c r="C116" s="36">
        <f>-H98</f>
        <v>0</v>
      </c>
      <c r="D116" s="36">
        <f>E98</f>
        <v>2057673.0875821009</v>
      </c>
    </row>
    <row r="117" spans="1:4" x14ac:dyDescent="0.25">
      <c r="A117" s="20">
        <v>7</v>
      </c>
      <c r="B117" s="36">
        <f t="shared" si="16"/>
        <v>0</v>
      </c>
      <c r="C117" s="36">
        <f>-H99</f>
        <v>-559036.65503442206</v>
      </c>
      <c r="D117" s="36">
        <f t="shared" ref="D117:D120" si="17">D116+B117+C117</f>
        <v>1498636.4325476787</v>
      </c>
    </row>
    <row r="118" spans="1:4" x14ac:dyDescent="0.25">
      <c r="A118" s="20">
        <v>8</v>
      </c>
      <c r="B118" s="36">
        <f t="shared" si="16"/>
        <v>0</v>
      </c>
      <c r="C118" s="36">
        <f>-H100</f>
        <v>-524622.66043029679</v>
      </c>
      <c r="D118" s="36">
        <f t="shared" si="17"/>
        <v>974013.77211738192</v>
      </c>
    </row>
    <row r="119" spans="1:4" x14ac:dyDescent="0.25">
      <c r="A119" s="20">
        <v>9</v>
      </c>
      <c r="B119" s="36">
        <f t="shared" si="16"/>
        <v>0</v>
      </c>
      <c r="C119" s="36">
        <f>-H101</f>
        <v>-497460.03364405496</v>
      </c>
      <c r="D119" s="36">
        <f t="shared" si="17"/>
        <v>476553.73847332696</v>
      </c>
    </row>
    <row r="120" spans="1:4" x14ac:dyDescent="0.25">
      <c r="A120" s="20">
        <v>10</v>
      </c>
      <c r="B120" s="36">
        <f t="shared" si="16"/>
        <v>0</v>
      </c>
      <c r="C120" s="36">
        <f>-H102</f>
        <v>-476553.73847332713</v>
      </c>
      <c r="D120" s="36">
        <f t="shared" si="17"/>
        <v>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Disclaimer</vt:lpstr>
      <vt:lpstr>Input</vt:lpstr>
      <vt:lpstr>Actuarial balances</vt:lpstr>
      <vt:lpstr>   Break   </vt:lpstr>
      <vt:lpstr>Input - Assumptions pre-LDTI </vt:lpstr>
      <vt:lpstr>Actuarial balances pre-LDTI</vt:lpstr>
      <vt:lpstr>Modified Retro Transition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2024-11-18T20:53:58Z</dcterms:created>
  <dcterms:modified xsi:type="dcterms:W3CDTF">2024-11-18T20:54:01Z</dcterms:modified>
</cp:coreProperties>
</file>