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4" documentId="13_ncr:1_{EF901FCE-B774-42EB-9534-D377BCFF4411}" xr6:coauthVersionLast="47" xr6:coauthVersionMax="47" xr10:uidLastSave="{6DC2A89E-78C4-44F1-89F6-2F2868FB2847}"/>
  <bookViews>
    <workbookView xWindow="-120" yWindow="-120" windowWidth="29040" windowHeight="15720" xr2:uid="{00000000-000D-0000-FFFF-FFFF00000000}"/>
  </bookViews>
  <sheets>
    <sheet name="Disclaimer" sheetId="12" r:id="rId1"/>
    <sheet name="Input" sheetId="1" r:id="rId2"/>
    <sheet name="CSV and dividend determination" sheetId="11" r:id="rId3"/>
    <sheet name="Actuarial balances" sheetId="10" r:id="rId4"/>
    <sheet name="Income statement" sheetId="4" r:id="rId5"/>
    <sheet name="Invested asset rollforwards" sheetId="7" r:id="rId6"/>
    <sheet name="Balance sheet" sheetId="5" r:id="rId7"/>
    <sheet name="GAAP Equity Rollforward" sheetId="6"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96" i="10" l="1"/>
  <c r="R191" i="10"/>
  <c r="R192" i="10"/>
  <c r="R193" i="10"/>
  <c r="R194" i="10"/>
  <c r="R195" i="10"/>
  <c r="R190" i="10"/>
  <c r="S196" i="10"/>
  <c r="S195" i="10"/>
  <c r="S194" i="10"/>
  <c r="V137" i="10"/>
  <c r="S127" i="10"/>
  <c r="R128" i="10"/>
  <c r="R129" i="10"/>
  <c r="R130" i="10"/>
  <c r="R131" i="10"/>
  <c r="R132" i="10"/>
  <c r="R133" i="10"/>
  <c r="R134" i="10"/>
  <c r="R135" i="10"/>
  <c r="R136" i="10"/>
  <c r="R137" i="10"/>
  <c r="R127" i="10"/>
  <c r="S91" i="10"/>
  <c r="S92" i="10"/>
  <c r="S93" i="10"/>
  <c r="S94" i="10"/>
  <c r="S95" i="10"/>
  <c r="S96" i="10"/>
  <c r="S97" i="10"/>
  <c r="S98" i="10"/>
  <c r="S99" i="10"/>
  <c r="R91" i="10"/>
  <c r="R92" i="10"/>
  <c r="R93" i="10"/>
  <c r="R94" i="10"/>
  <c r="R95" i="10"/>
  <c r="R96" i="10"/>
  <c r="R97" i="10"/>
  <c r="R98" i="10"/>
  <c r="R99" i="10"/>
  <c r="R90" i="10"/>
  <c r="V59" i="10"/>
  <c r="R59" i="10" l="1"/>
  <c r="R50" i="10"/>
  <c r="R51" i="10"/>
  <c r="R52" i="10"/>
  <c r="R53" i="10"/>
  <c r="R54" i="10"/>
  <c r="R55" i="10"/>
  <c r="R56" i="10"/>
  <c r="R57" i="10"/>
  <c r="R58" i="10"/>
  <c r="R49" i="10"/>
  <c r="V34" i="10"/>
  <c r="V35" i="10"/>
  <c r="V36" i="10"/>
  <c r="V37" i="10"/>
  <c r="V38" i="10"/>
  <c r="V39" i="10"/>
  <c r="V40" i="10"/>
  <c r="V41" i="10"/>
  <c r="V33" i="10"/>
  <c r="R34" i="10"/>
  <c r="R35" i="10"/>
  <c r="R36" i="10"/>
  <c r="R37" i="10"/>
  <c r="R38" i="10"/>
  <c r="R39" i="10"/>
  <c r="R40" i="10"/>
  <c r="R41" i="10"/>
  <c r="R42" i="10"/>
  <c r="R33" i="10"/>
  <c r="G44" i="4"/>
  <c r="F38" i="5" l="1"/>
  <c r="F22" i="5"/>
  <c r="B166" i="10"/>
  <c r="M43" i="1"/>
  <c r="D22" i="1" l="1"/>
  <c r="B71" i="10" l="1"/>
  <c r="D19" i="1" l="1"/>
  <c r="D20" i="1"/>
  <c r="D21" i="1"/>
  <c r="D23" i="1"/>
  <c r="D24" i="1"/>
  <c r="D25" i="1"/>
  <c r="D26" i="1"/>
  <c r="D27" i="1"/>
  <c r="D18" i="1"/>
  <c r="F39" i="11"/>
  <c r="F40" i="11"/>
  <c r="F41" i="11"/>
  <c r="F42" i="11"/>
  <c r="F43" i="11"/>
  <c r="F44" i="11"/>
  <c r="F45" i="11"/>
  <c r="F46" i="11"/>
  <c r="F38" i="11"/>
  <c r="P18" i="1"/>
  <c r="C39" i="11"/>
  <c r="C40" i="11"/>
  <c r="C41" i="11"/>
  <c r="C42" i="11"/>
  <c r="C43" i="11"/>
  <c r="C44" i="11"/>
  <c r="C45" i="11"/>
  <c r="C46" i="11"/>
  <c r="C38" i="11"/>
  <c r="K37" i="11"/>
  <c r="Q18" i="1" s="1"/>
  <c r="G13" i="11" l="1"/>
  <c r="B15" i="11"/>
  <c r="B39" i="11" s="1"/>
  <c r="D39" i="11" s="1"/>
  <c r="B16" i="11"/>
  <c r="B40" i="11" s="1"/>
  <c r="D40" i="11" s="1"/>
  <c r="B17" i="11"/>
  <c r="B41" i="11" s="1"/>
  <c r="D41" i="11" s="1"/>
  <c r="B18" i="11"/>
  <c r="B42" i="11" s="1"/>
  <c r="D42" i="11" s="1"/>
  <c r="B19" i="11"/>
  <c r="B43" i="11" s="1"/>
  <c r="D43" i="11" s="1"/>
  <c r="B20" i="11"/>
  <c r="B44" i="11" s="1"/>
  <c r="D44" i="11" s="1"/>
  <c r="B21" i="11"/>
  <c r="B45" i="11" s="1"/>
  <c r="D45" i="11" s="1"/>
  <c r="B22" i="11"/>
  <c r="B46" i="11" s="1"/>
  <c r="D46" i="11" s="1"/>
  <c r="B14" i="11"/>
  <c r="B38" i="11" s="1"/>
  <c r="O19" i="1"/>
  <c r="C14" i="11" s="1"/>
  <c r="O20" i="1"/>
  <c r="C15" i="11" s="1"/>
  <c r="O21" i="1"/>
  <c r="C16" i="11" s="1"/>
  <c r="O22" i="1"/>
  <c r="C17" i="11" s="1"/>
  <c r="O23" i="1"/>
  <c r="C18" i="11" s="1"/>
  <c r="O24" i="1"/>
  <c r="C19" i="11" s="1"/>
  <c r="O25" i="1"/>
  <c r="C20" i="11" s="1"/>
  <c r="O26" i="1"/>
  <c r="C21" i="11" s="1"/>
  <c r="O27" i="1"/>
  <c r="C22" i="11" s="1"/>
  <c r="O18" i="1"/>
  <c r="C13" i="11" s="1"/>
  <c r="E15" i="11" l="1"/>
  <c r="E39" i="11"/>
  <c r="G39" i="11" s="1"/>
  <c r="F14" i="11"/>
  <c r="E38" i="11"/>
  <c r="G38" i="11" s="1"/>
  <c r="E19" i="11"/>
  <c r="E43" i="11"/>
  <c r="G43" i="11" s="1"/>
  <c r="E18" i="11"/>
  <c r="E42" i="11"/>
  <c r="G42" i="11" s="1"/>
  <c r="E17" i="11"/>
  <c r="E41" i="11"/>
  <c r="G41" i="11" s="1"/>
  <c r="E22" i="11"/>
  <c r="E46" i="11"/>
  <c r="G46" i="11" s="1"/>
  <c r="E21" i="11"/>
  <c r="E45" i="11"/>
  <c r="G45" i="11" s="1"/>
  <c r="E20" i="11"/>
  <c r="E44" i="11"/>
  <c r="G44" i="11" s="1"/>
  <c r="E16" i="11"/>
  <c r="E40" i="11"/>
  <c r="G40" i="11" s="1"/>
  <c r="D38" i="11"/>
  <c r="G14" i="11"/>
  <c r="F15" i="11"/>
  <c r="H16" i="11" s="1"/>
  <c r="E14" i="11"/>
  <c r="H14" i="11" s="1"/>
  <c r="L14" i="11" s="1"/>
  <c r="H15" i="11" l="1"/>
  <c r="I15" i="11" s="1"/>
  <c r="L16" i="11"/>
  <c r="I16" i="11"/>
  <c r="I14" i="11"/>
  <c r="F16" i="11"/>
  <c r="G15" i="11"/>
  <c r="B19" i="1"/>
  <c r="G18" i="1"/>
  <c r="L15" i="11" l="1"/>
  <c r="B20" i="1"/>
  <c r="H38" i="11"/>
  <c r="J38" i="11" s="1"/>
  <c r="I38" i="11"/>
  <c r="F17" i="11"/>
  <c r="G16" i="11"/>
  <c r="H17" i="11"/>
  <c r="B33" i="6"/>
  <c r="D36" i="7"/>
  <c r="D37" i="7"/>
  <c r="D38" i="7"/>
  <c r="D39" i="7"/>
  <c r="D40" i="7"/>
  <c r="D41" i="7"/>
  <c r="D42" i="7"/>
  <c r="D43" i="7"/>
  <c r="D44" i="7"/>
  <c r="P39" i="1"/>
  <c r="N40" i="1"/>
  <c r="N41" i="1"/>
  <c r="N42" i="1"/>
  <c r="N43" i="1"/>
  <c r="N44" i="1"/>
  <c r="N45" i="1"/>
  <c r="N46" i="1"/>
  <c r="N47" i="1"/>
  <c r="N48" i="1"/>
  <c r="N39" i="1"/>
  <c r="M40" i="1"/>
  <c r="M41" i="1"/>
  <c r="M42" i="1"/>
  <c r="M44" i="1"/>
  <c r="M45" i="1"/>
  <c r="M46" i="1"/>
  <c r="M47" i="1"/>
  <c r="M48" i="1"/>
  <c r="M39" i="1"/>
  <c r="L40" i="1"/>
  <c r="L41" i="1"/>
  <c r="L42" i="1"/>
  <c r="L43" i="1"/>
  <c r="L44" i="1"/>
  <c r="L45" i="1"/>
  <c r="L46" i="1"/>
  <c r="L47" i="1"/>
  <c r="L48" i="1"/>
  <c r="L39" i="1"/>
  <c r="J39" i="1"/>
  <c r="H40" i="1"/>
  <c r="I40" i="1"/>
  <c r="H41" i="1"/>
  <c r="I41" i="1"/>
  <c r="H42" i="1"/>
  <c r="I42" i="1"/>
  <c r="H43" i="1"/>
  <c r="I43" i="1"/>
  <c r="H44" i="1"/>
  <c r="I44" i="1"/>
  <c r="H45" i="1"/>
  <c r="I45" i="1"/>
  <c r="H46" i="1"/>
  <c r="I46" i="1"/>
  <c r="H47" i="1"/>
  <c r="I47" i="1"/>
  <c r="H48" i="1"/>
  <c r="I48" i="1"/>
  <c r="I39" i="1"/>
  <c r="H39" i="1"/>
  <c r="D39" i="1"/>
  <c r="F39" i="1"/>
  <c r="G39" i="1"/>
  <c r="D40" i="1"/>
  <c r="F40" i="1"/>
  <c r="G40" i="1"/>
  <c r="D41" i="1"/>
  <c r="F41" i="1"/>
  <c r="G41" i="1"/>
  <c r="D42" i="1"/>
  <c r="F42" i="1"/>
  <c r="G42" i="1"/>
  <c r="D43" i="1"/>
  <c r="F43" i="1"/>
  <c r="G43" i="1"/>
  <c r="D44" i="1"/>
  <c r="F44" i="1"/>
  <c r="G44" i="1"/>
  <c r="D45" i="1"/>
  <c r="F45" i="1"/>
  <c r="G45" i="1"/>
  <c r="D46" i="1"/>
  <c r="F46" i="1"/>
  <c r="G46" i="1"/>
  <c r="D47" i="1"/>
  <c r="F47" i="1"/>
  <c r="G47" i="1"/>
  <c r="D48" i="1"/>
  <c r="F48" i="1"/>
  <c r="G48" i="1"/>
  <c r="C40" i="1"/>
  <c r="C41" i="1"/>
  <c r="C42" i="1"/>
  <c r="C43" i="1"/>
  <c r="C44" i="1"/>
  <c r="C45" i="1"/>
  <c r="C46" i="1"/>
  <c r="C47" i="1"/>
  <c r="C48" i="1"/>
  <c r="C39" i="1"/>
  <c r="B40" i="1"/>
  <c r="B41" i="1"/>
  <c r="B39" i="1"/>
  <c r="B32" i="1"/>
  <c r="B31" i="1"/>
  <c r="D126" i="10" s="1"/>
  <c r="H31" i="4" l="1"/>
  <c r="E35" i="7" s="1"/>
  <c r="B21" i="1"/>
  <c r="K38" i="11"/>
  <c r="G31" i="4"/>
  <c r="D35" i="7" s="1"/>
  <c r="I17" i="11"/>
  <c r="L17" i="11"/>
  <c r="F18" i="11"/>
  <c r="G17" i="11"/>
  <c r="H18" i="11"/>
  <c r="B127" i="10"/>
  <c r="C185" i="10"/>
  <c r="H126" i="10"/>
  <c r="U127" i="10" s="1"/>
  <c r="J19" i="1"/>
  <c r="D166" i="10" l="1"/>
  <c r="K31" i="4"/>
  <c r="K35" i="7" s="1"/>
  <c r="C127" i="10"/>
  <c r="G127" i="10" s="1"/>
  <c r="T128" i="10" s="1"/>
  <c r="I31" i="4"/>
  <c r="F35" i="7" s="1"/>
  <c r="B31" i="4"/>
  <c r="Q19" i="1"/>
  <c r="B22" i="1"/>
  <c r="B42" i="1"/>
  <c r="J20" i="1"/>
  <c r="J21" i="1" s="1"/>
  <c r="J22" i="1" s="1"/>
  <c r="J23" i="1" s="1"/>
  <c r="J40" i="1"/>
  <c r="F19" i="11"/>
  <c r="G18" i="11"/>
  <c r="H19" i="11"/>
  <c r="I18" i="11"/>
  <c r="L18" i="11"/>
  <c r="F127" i="10"/>
  <c r="S128" i="10" s="1"/>
  <c r="D14" i="10"/>
  <c r="B33" i="10"/>
  <c r="B34" i="10"/>
  <c r="B35" i="10"/>
  <c r="B36" i="10"/>
  <c r="B37" i="10"/>
  <c r="B38" i="10"/>
  <c r="B39" i="10"/>
  <c r="B40" i="10"/>
  <c r="B41" i="10"/>
  <c r="B42" i="10"/>
  <c r="B110" i="10"/>
  <c r="B111" i="10"/>
  <c r="B112" i="10"/>
  <c r="B113" i="10"/>
  <c r="B114" i="10"/>
  <c r="B115" i="10"/>
  <c r="B116" i="10"/>
  <c r="B117" i="10"/>
  <c r="B118" i="10"/>
  <c r="U128" i="10" l="1"/>
  <c r="C71" i="10"/>
  <c r="S32" i="10"/>
  <c r="D31" i="4"/>
  <c r="I35" i="7" s="1"/>
  <c r="J64" i="10"/>
  <c r="K64" i="10"/>
  <c r="E31" i="4"/>
  <c r="J35" i="7" s="1"/>
  <c r="B43" i="1"/>
  <c r="B23" i="1"/>
  <c r="B24" i="1" s="1"/>
  <c r="J41" i="1"/>
  <c r="J42" i="1"/>
  <c r="M14" i="10"/>
  <c r="D71" i="10" s="1"/>
  <c r="B15" i="10"/>
  <c r="L19" i="11"/>
  <c r="I19" i="11"/>
  <c r="F20" i="11"/>
  <c r="G19" i="11"/>
  <c r="H20" i="11"/>
  <c r="H14" i="10"/>
  <c r="H54" i="10" s="1"/>
  <c r="V49" i="10" s="1"/>
  <c r="V127" i="10" s="1"/>
  <c r="W127" i="10" s="1"/>
  <c r="G14" i="4"/>
  <c r="H127" i="10"/>
  <c r="D127" i="10"/>
  <c r="H32" i="4" s="1"/>
  <c r="C34" i="10"/>
  <c r="D33" i="10" s="1"/>
  <c r="D34" i="10" s="1"/>
  <c r="C91" i="10"/>
  <c r="L64" i="10" l="1"/>
  <c r="D167" i="10"/>
  <c r="B32" i="4"/>
  <c r="K32" i="4"/>
  <c r="K36" i="7" s="1"/>
  <c r="B44" i="1"/>
  <c r="G15" i="10"/>
  <c r="C166" i="10"/>
  <c r="E166" i="10" s="1"/>
  <c r="E71" i="10"/>
  <c r="H14" i="4"/>
  <c r="B25" i="1"/>
  <c r="B45" i="1"/>
  <c r="J43" i="1"/>
  <c r="Q14" i="10"/>
  <c r="K15" i="10"/>
  <c r="I14" i="4" s="1"/>
  <c r="F16" i="7" s="1"/>
  <c r="F21" i="11"/>
  <c r="G20" i="11"/>
  <c r="H21" i="11"/>
  <c r="I20" i="11"/>
  <c r="L20" i="11"/>
  <c r="E33" i="10"/>
  <c r="T33" i="10" s="1"/>
  <c r="J31" i="4"/>
  <c r="G35" i="7" s="1"/>
  <c r="B35" i="7"/>
  <c r="B128" i="10"/>
  <c r="E36" i="7"/>
  <c r="B186" i="10"/>
  <c r="D186" i="10" s="1"/>
  <c r="H33" i="10"/>
  <c r="E55" i="10"/>
  <c r="C35" i="10"/>
  <c r="C36" i="10" s="1"/>
  <c r="F15" i="10"/>
  <c r="I33" i="10" s="1"/>
  <c r="U33" i="10" s="1"/>
  <c r="W33" i="10" s="1"/>
  <c r="D15" i="10"/>
  <c r="D35" i="10"/>
  <c r="B14" i="4" l="1"/>
  <c r="U49" i="10"/>
  <c r="C72" i="10"/>
  <c r="S33" i="10"/>
  <c r="F128" i="10"/>
  <c r="S129" i="10" s="1"/>
  <c r="I32" i="4"/>
  <c r="F36" i="7" s="1"/>
  <c r="E90" i="10"/>
  <c r="T90" i="10" s="1"/>
  <c r="K14" i="4"/>
  <c r="K16" i="7" s="1"/>
  <c r="L15" i="10"/>
  <c r="M15" i="10" s="1"/>
  <c r="D72" i="10" s="1"/>
  <c r="B26" i="1"/>
  <c r="B46" i="1"/>
  <c r="J24" i="1"/>
  <c r="J44" i="1"/>
  <c r="O15" i="10"/>
  <c r="G16" i="10"/>
  <c r="B16" i="10"/>
  <c r="F16" i="10" s="1"/>
  <c r="I34" i="10" s="1"/>
  <c r="U34" i="10" s="1"/>
  <c r="W34" i="10" s="1"/>
  <c r="I21" i="11"/>
  <c r="L21" i="11"/>
  <c r="F22" i="11"/>
  <c r="G22" i="11" s="1"/>
  <c r="G21" i="11"/>
  <c r="H22" i="11"/>
  <c r="C128" i="10"/>
  <c r="G128" i="10" s="1"/>
  <c r="T129" i="10" s="1"/>
  <c r="U129" i="10" s="1"/>
  <c r="B36" i="7"/>
  <c r="J32" i="4"/>
  <c r="G36" i="7" s="1"/>
  <c r="B91" i="10"/>
  <c r="B204" i="10"/>
  <c r="C36" i="7"/>
  <c r="H15" i="10"/>
  <c r="C167" i="10" s="1"/>
  <c r="C37" i="10"/>
  <c r="D36" i="10"/>
  <c r="D14" i="4" l="1"/>
  <c r="S50" i="10"/>
  <c r="W49" i="10"/>
  <c r="P15" i="10"/>
  <c r="Q15" i="10" s="1"/>
  <c r="B15" i="4" s="1"/>
  <c r="H128" i="10"/>
  <c r="D32" i="4"/>
  <c r="I36" i="7" s="1"/>
  <c r="D128" i="10"/>
  <c r="B129" i="10" s="1"/>
  <c r="H15" i="4"/>
  <c r="K16" i="10"/>
  <c r="D91" i="10"/>
  <c r="B185" i="10"/>
  <c r="D185" i="10" s="1"/>
  <c r="B27" i="1"/>
  <c r="B47" i="1"/>
  <c r="J25" i="1"/>
  <c r="J45" i="1"/>
  <c r="G24" i="11"/>
  <c r="D16" i="10"/>
  <c r="H16" i="10"/>
  <c r="C168" i="10" s="1"/>
  <c r="I22" i="11"/>
  <c r="I24" i="11" s="1"/>
  <c r="I26" i="11" s="1"/>
  <c r="L22" i="11"/>
  <c r="E34" i="10"/>
  <c r="T34" i="10" s="1"/>
  <c r="B187" i="10"/>
  <c r="D187" i="10" s="1"/>
  <c r="H34" i="10"/>
  <c r="H35" i="10"/>
  <c r="E56" i="10"/>
  <c r="E57" i="10"/>
  <c r="C38" i="10"/>
  <c r="D37" i="10"/>
  <c r="B109" i="10" l="1"/>
  <c r="S90" i="10"/>
  <c r="E14" i="4"/>
  <c r="T50" i="10"/>
  <c r="U50" i="10" s="1"/>
  <c r="C73" i="10"/>
  <c r="S34" i="10"/>
  <c r="O16" i="10"/>
  <c r="I15" i="4"/>
  <c r="F17" i="7" s="1"/>
  <c r="F129" i="10"/>
  <c r="S130" i="10" s="1"/>
  <c r="I33" i="4"/>
  <c r="F37" i="7" s="1"/>
  <c r="H33" i="4"/>
  <c r="E37" i="7" s="1"/>
  <c r="D168" i="10"/>
  <c r="B33" i="4"/>
  <c r="J33" i="4" s="1"/>
  <c r="G37" i="7" s="1"/>
  <c r="B48" i="1"/>
  <c r="C35" i="7"/>
  <c r="H35" i="7" s="1"/>
  <c r="C31" i="4" s="1"/>
  <c r="B203" i="10"/>
  <c r="L16" i="10"/>
  <c r="P16" i="10" s="1"/>
  <c r="T51" i="10" s="1"/>
  <c r="E91" i="10"/>
  <c r="T91" i="10" s="1"/>
  <c r="K15" i="4"/>
  <c r="K17" i="7" s="1"/>
  <c r="J26" i="1"/>
  <c r="J46" i="1"/>
  <c r="B17" i="10"/>
  <c r="F17" i="10" s="1"/>
  <c r="I35" i="10" s="1"/>
  <c r="U35" i="10" s="1"/>
  <c r="W35" i="10" s="1"/>
  <c r="E35" i="10"/>
  <c r="T35" i="10" s="1"/>
  <c r="K19" i="11"/>
  <c r="K14" i="11"/>
  <c r="M14" i="11" s="1"/>
  <c r="K22" i="11"/>
  <c r="K15" i="11"/>
  <c r="K17" i="11"/>
  <c r="K16" i="11"/>
  <c r="K21" i="11"/>
  <c r="K20" i="11"/>
  <c r="K18" i="11"/>
  <c r="F34" i="10"/>
  <c r="C129" i="10"/>
  <c r="G129" i="10" s="1"/>
  <c r="T130" i="10" s="1"/>
  <c r="B205" i="10"/>
  <c r="C37" i="7"/>
  <c r="B92" i="10"/>
  <c r="G17" i="10"/>
  <c r="C39" i="10"/>
  <c r="D38" i="10"/>
  <c r="D15" i="4" l="1"/>
  <c r="S51" i="10"/>
  <c r="U51" i="10"/>
  <c r="U130" i="10"/>
  <c r="H17" i="10"/>
  <c r="C169" i="10" s="1"/>
  <c r="B37" i="7"/>
  <c r="D33" i="4"/>
  <c r="I37" i="7" s="1"/>
  <c r="M16" i="10"/>
  <c r="Q16" i="10"/>
  <c r="B16" i="4" s="1"/>
  <c r="J27" i="1"/>
  <c r="J48" i="1" s="1"/>
  <c r="J47" i="1"/>
  <c r="F35" i="10"/>
  <c r="B93" i="10"/>
  <c r="N14" i="11"/>
  <c r="M15" i="11"/>
  <c r="D129" i="10"/>
  <c r="H129" i="10"/>
  <c r="D17" i="10"/>
  <c r="C40" i="10"/>
  <c r="D39" i="10"/>
  <c r="E36" i="10" l="1"/>
  <c r="T36" i="10" s="1"/>
  <c r="C74" i="10"/>
  <c r="S35" i="10"/>
  <c r="D169" i="10"/>
  <c r="B34" i="4"/>
  <c r="H16" i="4"/>
  <c r="D73" i="10"/>
  <c r="K17" i="10"/>
  <c r="H34" i="4"/>
  <c r="E38" i="7" s="1"/>
  <c r="B130" i="10"/>
  <c r="C130" i="10" s="1"/>
  <c r="G130" i="10" s="1"/>
  <c r="T131" i="10" s="1"/>
  <c r="E92" i="10"/>
  <c r="T92" i="10" s="1"/>
  <c r="I39" i="11"/>
  <c r="H39" i="11"/>
  <c r="J39" i="11" s="1"/>
  <c r="P19" i="1"/>
  <c r="B18" i="10"/>
  <c r="F18" i="10" s="1"/>
  <c r="I36" i="10" s="1"/>
  <c r="U36" i="10" s="1"/>
  <c r="W36" i="10" s="1"/>
  <c r="M16" i="11"/>
  <c r="N15" i="11"/>
  <c r="E58" i="10"/>
  <c r="B94" i="10"/>
  <c r="F36" i="10"/>
  <c r="H36" i="10"/>
  <c r="C41" i="10"/>
  <c r="D40" i="10"/>
  <c r="P40" i="1" l="1"/>
  <c r="E32" i="4" s="1"/>
  <c r="E15" i="4"/>
  <c r="F130" i="10"/>
  <c r="I34" i="4"/>
  <c r="F38" i="7" s="1"/>
  <c r="I16" i="4"/>
  <c r="F18" i="7" s="1"/>
  <c r="L17" i="10"/>
  <c r="O17" i="10"/>
  <c r="S52" i="10" s="1"/>
  <c r="D130" i="10"/>
  <c r="B131" i="10" s="1"/>
  <c r="I40" i="11"/>
  <c r="H40" i="11"/>
  <c r="J40" i="11" s="1"/>
  <c r="P20" i="1"/>
  <c r="P41" i="1" s="1"/>
  <c r="E33" i="4" s="1"/>
  <c r="K39" i="11"/>
  <c r="K33" i="4" s="1"/>
  <c r="K37" i="7" s="1"/>
  <c r="M17" i="11"/>
  <c r="N16" i="11"/>
  <c r="G18" i="10"/>
  <c r="H18" i="10" s="1"/>
  <c r="C170" i="10" s="1"/>
  <c r="B188" i="10"/>
  <c r="D188" i="10" s="1"/>
  <c r="C42" i="10"/>
  <c r="D41" i="10"/>
  <c r="H130" i="10" l="1"/>
  <c r="D170" i="10" s="1"/>
  <c r="S131" i="10"/>
  <c r="U131" i="10" s="1"/>
  <c r="H35" i="4"/>
  <c r="P17" i="10"/>
  <c r="M17" i="10"/>
  <c r="F131" i="10"/>
  <c r="I35" i="4"/>
  <c r="D16" i="4"/>
  <c r="D34" i="4"/>
  <c r="I38" i="7" s="1"/>
  <c r="Q20" i="1"/>
  <c r="K16" i="4"/>
  <c r="K18" i="7" s="1"/>
  <c r="K40" i="11"/>
  <c r="K34" i="4" s="1"/>
  <c r="K38" i="7" s="1"/>
  <c r="I41" i="11"/>
  <c r="P21" i="1"/>
  <c r="P42" i="1" s="1"/>
  <c r="E34" i="4" s="1"/>
  <c r="H41" i="11"/>
  <c r="J41" i="11" s="1"/>
  <c r="J36" i="7"/>
  <c r="D18" i="10"/>
  <c r="M18" i="11"/>
  <c r="N17" i="11"/>
  <c r="C131" i="10"/>
  <c r="G131" i="10" s="1"/>
  <c r="T132" i="10" s="1"/>
  <c r="J34" i="4"/>
  <c r="G38" i="7" s="1"/>
  <c r="B38" i="7"/>
  <c r="B206" i="10"/>
  <c r="C38" i="7"/>
  <c r="E37" i="10"/>
  <c r="T37" i="10" s="1"/>
  <c r="H37" i="10"/>
  <c r="E59" i="10"/>
  <c r="D42" i="10"/>
  <c r="B35" i="4" l="1"/>
  <c r="B39" i="7" s="1"/>
  <c r="E188" i="10"/>
  <c r="T191" i="10" s="1"/>
  <c r="D35" i="4"/>
  <c r="S132" i="10"/>
  <c r="U132" i="10" s="1"/>
  <c r="E16" i="4"/>
  <c r="T52" i="10"/>
  <c r="U52" i="10" s="1"/>
  <c r="C75" i="10"/>
  <c r="S36" i="10"/>
  <c r="F39" i="7"/>
  <c r="I39" i="7"/>
  <c r="E39" i="7"/>
  <c r="Q17" i="10"/>
  <c r="B17" i="4" s="1"/>
  <c r="D74" i="10"/>
  <c r="K18" i="10"/>
  <c r="H17" i="4"/>
  <c r="Q21" i="1"/>
  <c r="I42" i="11"/>
  <c r="H42" i="11"/>
  <c r="J42" i="11" s="1"/>
  <c r="P22" i="1"/>
  <c r="P43" i="1" s="1"/>
  <c r="J37" i="7"/>
  <c r="K41" i="11"/>
  <c r="B19" i="10"/>
  <c r="F19" i="10" s="1"/>
  <c r="I37" i="10" s="1"/>
  <c r="U37" i="10" s="1"/>
  <c r="W37" i="10" s="1"/>
  <c r="M19" i="11"/>
  <c r="N18" i="11"/>
  <c r="B189" i="10"/>
  <c r="D189" i="10" s="1"/>
  <c r="C39" i="7" s="1"/>
  <c r="B95" i="10"/>
  <c r="F37" i="10"/>
  <c r="D131" i="10"/>
  <c r="H131" i="10"/>
  <c r="J35" i="4" l="1"/>
  <c r="E93" i="10"/>
  <c r="T93" i="10" s="1"/>
  <c r="K17" i="4"/>
  <c r="K19" i="7" s="1"/>
  <c r="G39" i="7"/>
  <c r="E35" i="4"/>
  <c r="O18" i="10"/>
  <c r="S53" i="10" s="1"/>
  <c r="I17" i="4"/>
  <c r="F19" i="7" s="1"/>
  <c r="L18" i="10"/>
  <c r="P18" i="10" s="1"/>
  <c r="D171" i="10"/>
  <c r="B36" i="4"/>
  <c r="H36" i="4"/>
  <c r="E40" i="7" s="1"/>
  <c r="Q22" i="1"/>
  <c r="K35" i="4"/>
  <c r="I43" i="11"/>
  <c r="H43" i="11"/>
  <c r="J43" i="11" s="1"/>
  <c r="P23" i="1"/>
  <c r="P44" i="1" s="1"/>
  <c r="J38" i="7"/>
  <c r="K42" i="11"/>
  <c r="G19" i="10"/>
  <c r="M20" i="11"/>
  <c r="N19" i="11"/>
  <c r="B207" i="10"/>
  <c r="B190" i="10"/>
  <c r="D190" i="10" s="1"/>
  <c r="E189" i="10"/>
  <c r="T192" i="10" s="1"/>
  <c r="D19" i="10"/>
  <c r="B132" i="10"/>
  <c r="E17" i="4" l="1"/>
  <c r="T53" i="10"/>
  <c r="U53" i="10" s="1"/>
  <c r="C76" i="10"/>
  <c r="S37" i="10"/>
  <c r="K39" i="7"/>
  <c r="J39" i="7"/>
  <c r="D17" i="4"/>
  <c r="Q18" i="10"/>
  <c r="F132" i="10"/>
  <c r="S133" i="10" s="1"/>
  <c r="I36" i="4"/>
  <c r="F40" i="7" s="1"/>
  <c r="M18" i="10"/>
  <c r="Q23" i="1"/>
  <c r="K36" i="4"/>
  <c r="K40" i="7" s="1"/>
  <c r="I44" i="11"/>
  <c r="H44" i="11"/>
  <c r="J44" i="11" s="1"/>
  <c r="P24" i="1"/>
  <c r="P45" i="1" s="1"/>
  <c r="K43" i="11"/>
  <c r="H19" i="10"/>
  <c r="B20" i="10"/>
  <c r="F20" i="10" s="1"/>
  <c r="I38" i="10" s="1"/>
  <c r="U38" i="10" s="1"/>
  <c r="W38" i="10" s="1"/>
  <c r="M21" i="11"/>
  <c r="N20" i="11"/>
  <c r="B40" i="7"/>
  <c r="H38" i="10"/>
  <c r="C132" i="10"/>
  <c r="G132" i="10" s="1"/>
  <c r="T133" i="10" s="1"/>
  <c r="U133" i="10" s="1"/>
  <c r="E60" i="10"/>
  <c r="C40" i="7"/>
  <c r="B208" i="10"/>
  <c r="D36" i="4" l="1"/>
  <c r="I40" i="7" s="1"/>
  <c r="B18" i="4"/>
  <c r="B44" i="4" s="1"/>
  <c r="E94" i="10"/>
  <c r="T94" i="10" s="1"/>
  <c r="K18" i="4"/>
  <c r="E36" i="4"/>
  <c r="J40" i="7" s="1"/>
  <c r="H18" i="4"/>
  <c r="H44" i="4" s="1"/>
  <c r="D75" i="10"/>
  <c r="K19" i="10"/>
  <c r="Q24" i="1"/>
  <c r="E38" i="10"/>
  <c r="C171" i="10"/>
  <c r="I45" i="11"/>
  <c r="P25" i="1"/>
  <c r="P46" i="1" s="1"/>
  <c r="H45" i="11"/>
  <c r="J45" i="11" s="1"/>
  <c r="K44" i="11"/>
  <c r="M22" i="11"/>
  <c r="N21" i="11"/>
  <c r="J36" i="4"/>
  <c r="G40" i="7" s="1"/>
  <c r="G20" i="10"/>
  <c r="D132" i="10"/>
  <c r="H132" i="10"/>
  <c r="K37" i="4" s="1"/>
  <c r="K41" i="7" s="1"/>
  <c r="B96" i="10" l="1"/>
  <c r="T38" i="10"/>
  <c r="K20" i="7"/>
  <c r="K44" i="4"/>
  <c r="H37" i="4"/>
  <c r="E41" i="7" s="1"/>
  <c r="O19" i="10"/>
  <c r="I18" i="4"/>
  <c r="L19" i="10"/>
  <c r="P19" i="10" s="1"/>
  <c r="D172" i="10"/>
  <c r="B37" i="4"/>
  <c r="F38" i="10"/>
  <c r="Q25" i="1"/>
  <c r="H46" i="11"/>
  <c r="J46" i="11" s="1"/>
  <c r="P26" i="1"/>
  <c r="P47" i="1" s="1"/>
  <c r="K45" i="11"/>
  <c r="D20" i="10"/>
  <c r="N22" i="11"/>
  <c r="P27" i="1" s="1"/>
  <c r="P48" i="1" s="1"/>
  <c r="I46" i="11"/>
  <c r="H20" i="10"/>
  <c r="B191" i="10"/>
  <c r="D191" i="10" s="1"/>
  <c r="S190" i="10" s="1"/>
  <c r="E190" i="10"/>
  <c r="T193" i="10" s="1"/>
  <c r="B133" i="10"/>
  <c r="T19" i="10" l="1"/>
  <c r="S54" i="10"/>
  <c r="E18" i="4"/>
  <c r="E44" i="4" s="1"/>
  <c r="T54" i="10"/>
  <c r="U54" i="10" s="1"/>
  <c r="C77" i="10"/>
  <c r="S38" i="10"/>
  <c r="F20" i="7"/>
  <c r="I44" i="4"/>
  <c r="D18" i="4"/>
  <c r="D44" i="4" s="1"/>
  <c r="Q19" i="10"/>
  <c r="F133" i="10"/>
  <c r="I37" i="4"/>
  <c r="F41" i="7" s="1"/>
  <c r="M19" i="10"/>
  <c r="Q26" i="1"/>
  <c r="E39" i="10"/>
  <c r="C172" i="10"/>
  <c r="K46" i="11"/>
  <c r="B21" i="10"/>
  <c r="F21" i="10" s="1"/>
  <c r="B41" i="7"/>
  <c r="B209" i="10"/>
  <c r="C41" i="7"/>
  <c r="C133" i="10"/>
  <c r="G133" i="10" s="1"/>
  <c r="T134" i="10" s="1"/>
  <c r="H39" i="10"/>
  <c r="E61" i="10"/>
  <c r="D37" i="4" l="1"/>
  <c r="I41" i="7" s="1"/>
  <c r="S134" i="10"/>
  <c r="U134" i="10" s="1"/>
  <c r="F39" i="10"/>
  <c r="T39" i="10"/>
  <c r="E37" i="4"/>
  <c r="J41" i="7" s="1"/>
  <c r="B19" i="4"/>
  <c r="E95" i="10"/>
  <c r="T95" i="10" s="1"/>
  <c r="K19" i="4"/>
  <c r="K21" i="7" s="1"/>
  <c r="H19" i="4"/>
  <c r="D76" i="10"/>
  <c r="K20" i="10"/>
  <c r="Q27" i="1"/>
  <c r="B97" i="10"/>
  <c r="J37" i="4"/>
  <c r="G41" i="7" s="1"/>
  <c r="H133" i="10"/>
  <c r="D133" i="10"/>
  <c r="G21" i="10"/>
  <c r="D21" i="10"/>
  <c r="I39" i="10"/>
  <c r="U39" i="10" s="1"/>
  <c r="W39" i="10" s="1"/>
  <c r="C78" i="10" l="1"/>
  <c r="S39" i="10"/>
  <c r="O20" i="10"/>
  <c r="S55" i="10" s="1"/>
  <c r="I19" i="4"/>
  <c r="F21" i="7" s="1"/>
  <c r="H38" i="4"/>
  <c r="E42" i="7" s="1"/>
  <c r="B38" i="4"/>
  <c r="B42" i="7" s="1"/>
  <c r="K38" i="4"/>
  <c r="K42" i="7" s="1"/>
  <c r="L20" i="10"/>
  <c r="P20" i="10" s="1"/>
  <c r="E191" i="10"/>
  <c r="T194" i="10" s="1"/>
  <c r="D173" i="10"/>
  <c r="B22" i="10"/>
  <c r="F22" i="10" s="1"/>
  <c r="I40" i="10" s="1"/>
  <c r="U40" i="10" s="1"/>
  <c r="W40" i="10" s="1"/>
  <c r="B134" i="10"/>
  <c r="B192" i="10"/>
  <c r="D192" i="10" s="1"/>
  <c r="H21" i="10"/>
  <c r="C173" i="10" s="1"/>
  <c r="C42" i="7" l="1"/>
  <c r="S191" i="10"/>
  <c r="E19" i="4"/>
  <c r="T55" i="10"/>
  <c r="U55" i="10" s="1"/>
  <c r="F134" i="10"/>
  <c r="S135" i="10" s="1"/>
  <c r="I38" i="4"/>
  <c r="F42" i="7" s="1"/>
  <c r="M20" i="10"/>
  <c r="D19" i="4"/>
  <c r="Q20" i="10"/>
  <c r="J38" i="4"/>
  <c r="G42" i="7" s="1"/>
  <c r="C134" i="10"/>
  <c r="G134" i="10" s="1"/>
  <c r="B210" i="10"/>
  <c r="E40" i="10"/>
  <c r="T40" i="10" s="1"/>
  <c r="G22" i="10"/>
  <c r="H40" i="10"/>
  <c r="E62" i="10"/>
  <c r="H134" i="10" l="1"/>
  <c r="E192" i="10" s="1"/>
  <c r="T195" i="10" s="1"/>
  <c r="T135" i="10"/>
  <c r="U135" i="10" s="1"/>
  <c r="H20" i="4"/>
  <c r="D77" i="10"/>
  <c r="K21" i="10"/>
  <c r="E38" i="4"/>
  <c r="J42" i="7" s="1"/>
  <c r="B20" i="4"/>
  <c r="E96" i="10"/>
  <c r="T96" i="10" s="1"/>
  <c r="K20" i="4"/>
  <c r="K22" i="7" s="1"/>
  <c r="D38" i="4"/>
  <c r="I42" i="7" s="1"/>
  <c r="D134" i="10"/>
  <c r="B135" i="10" s="1"/>
  <c r="B98" i="10"/>
  <c r="F40" i="10"/>
  <c r="D22" i="10"/>
  <c r="H22" i="10"/>
  <c r="C174" i="10" s="1"/>
  <c r="K39" i="4" l="1"/>
  <c r="K43" i="7" s="1"/>
  <c r="B39" i="4"/>
  <c r="D174" i="10"/>
  <c r="C79" i="10"/>
  <c r="S40" i="10"/>
  <c r="C135" i="10"/>
  <c r="G135" i="10" s="1"/>
  <c r="T136" i="10" s="1"/>
  <c r="I39" i="4"/>
  <c r="F43" i="7" s="1"/>
  <c r="O21" i="10"/>
  <c r="S56" i="10" s="1"/>
  <c r="I20" i="4"/>
  <c r="F22" i="7" s="1"/>
  <c r="L21" i="10"/>
  <c r="P21" i="10" s="1"/>
  <c r="H39" i="4"/>
  <c r="E43" i="7" s="1"/>
  <c r="B23" i="10"/>
  <c r="F23" i="10" s="1"/>
  <c r="I41" i="10" s="1"/>
  <c r="U41" i="10" s="1"/>
  <c r="W41" i="10" s="1"/>
  <c r="F135" i="10"/>
  <c r="S136" i="10" s="1"/>
  <c r="B193" i="10"/>
  <c r="D193" i="10" s="1"/>
  <c r="J39" i="4"/>
  <c r="G43" i="7" s="1"/>
  <c r="E41" i="10"/>
  <c r="T41" i="10" s="1"/>
  <c r="U136" i="10" l="1"/>
  <c r="B211" i="10"/>
  <c r="S192" i="10"/>
  <c r="E20" i="4"/>
  <c r="T56" i="10"/>
  <c r="U56" i="10" s="1"/>
  <c r="D135" i="10"/>
  <c r="H40" i="4"/>
  <c r="E44" i="7" s="1"/>
  <c r="D20" i="4"/>
  <c r="Q21" i="10"/>
  <c r="D39" i="4"/>
  <c r="I43" i="7" s="1"/>
  <c r="E39" i="4"/>
  <c r="J43" i="7" s="1"/>
  <c r="M21" i="10"/>
  <c r="H135" i="10"/>
  <c r="G23" i="10"/>
  <c r="H23" i="10" s="1"/>
  <c r="C175" i="10" s="1"/>
  <c r="F41" i="10"/>
  <c r="C43" i="7"/>
  <c r="B99" i="10"/>
  <c r="B43" i="7"/>
  <c r="H41" i="10"/>
  <c r="B136" i="10"/>
  <c r="I40" i="4" s="1"/>
  <c r="F44" i="7" s="1"/>
  <c r="E63" i="10"/>
  <c r="B21" i="4" l="1"/>
  <c r="E97" i="10"/>
  <c r="T97" i="10" s="1"/>
  <c r="K21" i="4"/>
  <c r="K23" i="7" s="1"/>
  <c r="B40" i="4"/>
  <c r="B44" i="7" s="1"/>
  <c r="K40" i="4"/>
  <c r="K44" i="7" s="1"/>
  <c r="H21" i="4"/>
  <c r="D78" i="10"/>
  <c r="K22" i="10"/>
  <c r="L22" i="10" s="1"/>
  <c r="P22" i="10" s="1"/>
  <c r="E193" i="10"/>
  <c r="T196" i="10" s="1"/>
  <c r="D175" i="10"/>
  <c r="B194" i="10"/>
  <c r="D194" i="10" s="1"/>
  <c r="B212" i="10" s="1"/>
  <c r="D23" i="10"/>
  <c r="F136" i="10"/>
  <c r="S137" i="10" s="1"/>
  <c r="C136" i="10"/>
  <c r="G136" i="10" s="1"/>
  <c r="T137" i="10" s="1"/>
  <c r="H42" i="10"/>
  <c r="H44" i="10" s="1"/>
  <c r="E64" i="10"/>
  <c r="E42" i="10"/>
  <c r="T42" i="10" s="1"/>
  <c r="T43" i="10" s="1"/>
  <c r="U137" i="10" l="1"/>
  <c r="W137" i="10" s="1"/>
  <c r="C44" i="7"/>
  <c r="S193" i="10"/>
  <c r="U196" i="10"/>
  <c r="V196" i="10" s="1"/>
  <c r="U195" i="10"/>
  <c r="V195" i="10" s="1"/>
  <c r="U193" i="10"/>
  <c r="V193" i="10" s="1"/>
  <c r="U192" i="10"/>
  <c r="V192" i="10" s="1"/>
  <c r="U191" i="10"/>
  <c r="V191" i="10" s="1"/>
  <c r="U194" i="10"/>
  <c r="V194" i="10" s="1"/>
  <c r="E21" i="4"/>
  <c r="T57" i="10"/>
  <c r="C80" i="10"/>
  <c r="S41" i="10"/>
  <c r="J40" i="4"/>
  <c r="G44" i="7" s="1"/>
  <c r="E40" i="4"/>
  <c r="J44" i="7" s="1"/>
  <c r="M22" i="10"/>
  <c r="D40" i="4"/>
  <c r="I44" i="7" s="1"/>
  <c r="O22" i="10"/>
  <c r="S57" i="10" s="1"/>
  <c r="I21" i="4"/>
  <c r="F23" i="7" s="1"/>
  <c r="B24" i="10"/>
  <c r="D136" i="10"/>
  <c r="F42" i="10"/>
  <c r="B100" i="10"/>
  <c r="U57" i="10" l="1"/>
  <c r="H22" i="4"/>
  <c r="D79" i="10"/>
  <c r="K23" i="10"/>
  <c r="L23" i="10" s="1"/>
  <c r="P23" i="10" s="1"/>
  <c r="D21" i="4"/>
  <c r="Q22" i="10"/>
  <c r="F24" i="10"/>
  <c r="I42" i="10" s="1"/>
  <c r="U42" i="10" s="1"/>
  <c r="C24" i="10"/>
  <c r="G24" i="10" s="1"/>
  <c r="J42" i="10" s="1"/>
  <c r="V42" i="10" s="1"/>
  <c r="H136" i="10"/>
  <c r="E22" i="4" l="1"/>
  <c r="T58" i="10"/>
  <c r="W42" i="10"/>
  <c r="W43" i="10" s="1"/>
  <c r="O23" i="10"/>
  <c r="I22" i="4"/>
  <c r="F24" i="7" s="1"/>
  <c r="M23" i="10"/>
  <c r="B22" i="4"/>
  <c r="E98" i="10"/>
  <c r="T98" i="10" s="1"/>
  <c r="K22" i="4"/>
  <c r="K24" i="7" s="1"/>
  <c r="E194" i="10"/>
  <c r="E196" i="10" s="1"/>
  <c r="D176" i="10"/>
  <c r="H24" i="10"/>
  <c r="C176" i="10" s="1"/>
  <c r="D24" i="10"/>
  <c r="G187" i="10"/>
  <c r="G188" i="10"/>
  <c r="G186" i="10"/>
  <c r="G185" i="10"/>
  <c r="K36" i="10"/>
  <c r="K37" i="10"/>
  <c r="K40" i="10"/>
  <c r="K41" i="10"/>
  <c r="D22" i="4" l="1"/>
  <c r="S58" i="10"/>
  <c r="U58" i="10" s="1"/>
  <c r="C81" i="10"/>
  <c r="S42" i="10"/>
  <c r="H23" i="4"/>
  <c r="D80" i="10"/>
  <c r="K24" i="10"/>
  <c r="Q23" i="10"/>
  <c r="F189" i="10"/>
  <c r="F190" i="10"/>
  <c r="F191" i="10"/>
  <c r="F192" i="10"/>
  <c r="F193" i="10"/>
  <c r="F194" i="10"/>
  <c r="D63" i="10"/>
  <c r="L41" i="10"/>
  <c r="D59" i="10"/>
  <c r="L37" i="10"/>
  <c r="D62" i="10"/>
  <c r="L40" i="10"/>
  <c r="D58" i="10"/>
  <c r="L36" i="10"/>
  <c r="K33" i="10"/>
  <c r="K39" i="10"/>
  <c r="K35" i="10"/>
  <c r="K42" i="10"/>
  <c r="K38" i="10"/>
  <c r="K34" i="10"/>
  <c r="B23" i="4" l="1"/>
  <c r="K23" i="4"/>
  <c r="K25" i="7" s="1"/>
  <c r="E99" i="10"/>
  <c r="T99" i="10" s="1"/>
  <c r="O24" i="10"/>
  <c r="I23" i="4"/>
  <c r="F25" i="7" s="1"/>
  <c r="L24" i="10"/>
  <c r="P24" i="10" s="1"/>
  <c r="D64" i="10"/>
  <c r="K63" i="10" s="1"/>
  <c r="L42" i="10"/>
  <c r="D57" i="10"/>
  <c r="L35" i="10"/>
  <c r="D56" i="10"/>
  <c r="L34" i="10"/>
  <c r="D61" i="10"/>
  <c r="L39" i="10"/>
  <c r="D60" i="10"/>
  <c r="L38" i="10"/>
  <c r="L33" i="10"/>
  <c r="D55" i="10"/>
  <c r="K56" i="10" l="1"/>
  <c r="E23" i="4"/>
  <c r="T59" i="10"/>
  <c r="K55" i="10"/>
  <c r="D23" i="4"/>
  <c r="S59" i="10"/>
  <c r="U99" i="10"/>
  <c r="V99" i="10" s="1"/>
  <c r="U91" i="10"/>
  <c r="V91" i="10" s="1"/>
  <c r="U92" i="10"/>
  <c r="V92" i="10" s="1"/>
  <c r="U93" i="10"/>
  <c r="V93" i="10" s="1"/>
  <c r="U98" i="10"/>
  <c r="V98" i="10" s="1"/>
  <c r="U97" i="10"/>
  <c r="V97" i="10" s="1"/>
  <c r="U94" i="10"/>
  <c r="V94" i="10" s="1"/>
  <c r="U95" i="10"/>
  <c r="V95" i="10" s="1"/>
  <c r="U96" i="10"/>
  <c r="V96" i="10" s="1"/>
  <c r="U90" i="10"/>
  <c r="V90" i="10" s="1"/>
  <c r="W90" i="10" s="1"/>
  <c r="X90" i="10" s="1"/>
  <c r="K59" i="10"/>
  <c r="K54" i="10"/>
  <c r="K58" i="10"/>
  <c r="K62" i="10"/>
  <c r="K57" i="10"/>
  <c r="K60" i="10"/>
  <c r="K61" i="10"/>
  <c r="M24" i="10"/>
  <c r="D81" i="10" s="1"/>
  <c r="Q24" i="10"/>
  <c r="E100" i="10" s="1"/>
  <c r="E102" i="10" s="1"/>
  <c r="L44" i="10"/>
  <c r="C17" i="7"/>
  <c r="C18" i="7"/>
  <c r="C19" i="7"/>
  <c r="C20" i="7"/>
  <c r="C21" i="7"/>
  <c r="C22" i="7"/>
  <c r="C23" i="7"/>
  <c r="C24" i="7"/>
  <c r="C25" i="7"/>
  <c r="U59" i="10" l="1"/>
  <c r="W59" i="10" s="1"/>
  <c r="W91" i="10"/>
  <c r="X91" i="10" s="1"/>
  <c r="F92" i="10"/>
  <c r="G92" i="10" s="1"/>
  <c r="C110" i="10" s="1"/>
  <c r="F91" i="10"/>
  <c r="G91" i="10" s="1"/>
  <c r="C109" i="10" s="1"/>
  <c r="F93" i="10"/>
  <c r="G93" i="10" s="1"/>
  <c r="C111" i="10" s="1"/>
  <c r="F94" i="10"/>
  <c r="G94" i="10" s="1"/>
  <c r="C112" i="10" s="1"/>
  <c r="F95" i="10"/>
  <c r="G95" i="10" s="1"/>
  <c r="C113" i="10" s="1"/>
  <c r="F96" i="10"/>
  <c r="G96" i="10" s="1"/>
  <c r="C114" i="10" s="1"/>
  <c r="F97" i="10"/>
  <c r="G97" i="10" s="1"/>
  <c r="C115" i="10" s="1"/>
  <c r="F98" i="10"/>
  <c r="G98" i="10" s="1"/>
  <c r="C116" i="10" s="1"/>
  <c r="F99" i="10"/>
  <c r="G99" i="10" s="1"/>
  <c r="C117" i="10" s="1"/>
  <c r="F100" i="10"/>
  <c r="G100" i="10" s="1"/>
  <c r="C118" i="10" s="1"/>
  <c r="B15" i="6"/>
  <c r="D17" i="7"/>
  <c r="D18" i="7"/>
  <c r="D19" i="7"/>
  <c r="D20" i="7"/>
  <c r="D21" i="7"/>
  <c r="D22" i="7"/>
  <c r="D23" i="7"/>
  <c r="D24" i="7"/>
  <c r="D25" i="7"/>
  <c r="W92" i="10" l="1"/>
  <c r="X92" i="10" s="1"/>
  <c r="L34" i="4"/>
  <c r="C206" i="10"/>
  <c r="D109" i="10"/>
  <c r="C203" i="10"/>
  <c r="D203" i="10" s="1"/>
  <c r="L31" i="4"/>
  <c r="C204" i="10"/>
  <c r="L32" i="4"/>
  <c r="L33" i="4"/>
  <c r="C205" i="10"/>
  <c r="F33" i="10"/>
  <c r="B16" i="7"/>
  <c r="J14" i="4"/>
  <c r="D16" i="7"/>
  <c r="E16" i="7"/>
  <c r="W93" i="10" l="1"/>
  <c r="X93" i="10" s="1"/>
  <c r="D204" i="10"/>
  <c r="D205" i="10" s="1"/>
  <c r="D206" i="10" s="1"/>
  <c r="G192" i="10" s="1"/>
  <c r="C210" i="10" s="1"/>
  <c r="L38" i="4" s="1"/>
  <c r="D110" i="10"/>
  <c r="C13" i="5"/>
  <c r="C29" i="5"/>
  <c r="C16" i="7"/>
  <c r="H16" i="7" s="1"/>
  <c r="C14" i="4" s="1"/>
  <c r="G16" i="7"/>
  <c r="G193" i="10" l="1"/>
  <c r="C211" i="10" s="1"/>
  <c r="L39" i="4" s="1"/>
  <c r="X190" i="10"/>
  <c r="W191" i="10" s="1"/>
  <c r="X191" i="10" s="1"/>
  <c r="W192" i="10" s="1"/>
  <c r="X192" i="10" s="1"/>
  <c r="W193" i="10" s="1"/>
  <c r="X193" i="10" s="1"/>
  <c r="W194" i="10" s="1"/>
  <c r="X194" i="10" s="1"/>
  <c r="W195" i="10" s="1"/>
  <c r="X195" i="10" s="1"/>
  <c r="W196" i="10" s="1"/>
  <c r="X196" i="10" s="1"/>
  <c r="W94" i="10"/>
  <c r="X94" i="10" s="1"/>
  <c r="G189" i="10"/>
  <c r="C207" i="10" s="1"/>
  <c r="D207" i="10" s="1"/>
  <c r="C33" i="5" s="1"/>
  <c r="G194" i="10"/>
  <c r="C212" i="10" s="1"/>
  <c r="L40" i="4" s="1"/>
  <c r="G191" i="10"/>
  <c r="C209" i="10" s="1"/>
  <c r="L37" i="4" s="1"/>
  <c r="G190" i="10"/>
  <c r="C208" i="10" s="1"/>
  <c r="L36" i="4" s="1"/>
  <c r="D111" i="10"/>
  <c r="C14" i="5"/>
  <c r="C30" i="5"/>
  <c r="J15" i="4"/>
  <c r="B17" i="7"/>
  <c r="E17" i="7"/>
  <c r="L14" i="4"/>
  <c r="T199" i="10" l="1"/>
  <c r="W95" i="10"/>
  <c r="X95" i="10" s="1"/>
  <c r="W96" i="10" s="1"/>
  <c r="X96" i="10" s="1"/>
  <c r="W97" i="10" s="1"/>
  <c r="X97" i="10" s="1"/>
  <c r="W98" i="10" s="1"/>
  <c r="X98" i="10" s="1"/>
  <c r="D208" i="10"/>
  <c r="D209" i="10" s="1"/>
  <c r="D112" i="10"/>
  <c r="C15" i="5"/>
  <c r="C31" i="5"/>
  <c r="C34" i="5"/>
  <c r="G17" i="7"/>
  <c r="W99" i="10" l="1"/>
  <c r="X99" i="10" s="1"/>
  <c r="C32" i="5"/>
  <c r="C16" i="5"/>
  <c r="D113" i="10"/>
  <c r="L35" i="4"/>
  <c r="D210" i="10"/>
  <c r="C35" i="5"/>
  <c r="I16" i="7"/>
  <c r="L15" i="4"/>
  <c r="D114" i="10" l="1"/>
  <c r="C17" i="5"/>
  <c r="D211" i="10"/>
  <c r="C36" i="5"/>
  <c r="E18" i="7"/>
  <c r="J16" i="4"/>
  <c r="B18" i="7"/>
  <c r="J16" i="7"/>
  <c r="O16" i="7" s="1"/>
  <c r="P16" i="7" s="1"/>
  <c r="C18" i="5" l="1"/>
  <c r="D115" i="10"/>
  <c r="D212" i="10"/>
  <c r="C38" i="5" s="1"/>
  <c r="C37" i="5"/>
  <c r="G18" i="7"/>
  <c r="L16" i="4"/>
  <c r="D116" i="10" l="1"/>
  <c r="C19" i="5"/>
  <c r="E19" i="7"/>
  <c r="J17" i="4"/>
  <c r="B19" i="7"/>
  <c r="I17" i="7"/>
  <c r="C20" i="5" l="1"/>
  <c r="D117" i="10"/>
  <c r="G19" i="7"/>
  <c r="D118" i="10" l="1"/>
  <c r="C22" i="5" s="1"/>
  <c r="C21" i="5"/>
  <c r="L17" i="4"/>
  <c r="E20" i="7"/>
  <c r="J17" i="7"/>
  <c r="O17" i="7" s="1"/>
  <c r="P17" i="7" s="1"/>
  <c r="J18" i="4" l="1"/>
  <c r="J44" i="4" s="1"/>
  <c r="B20" i="7"/>
  <c r="G20" i="7" l="1"/>
  <c r="L18" i="4" l="1"/>
  <c r="L44" i="4" s="1"/>
  <c r="E21" i="7"/>
  <c r="I18" i="7"/>
  <c r="J19" i="4" l="1"/>
  <c r="B21" i="7"/>
  <c r="J18" i="7"/>
  <c r="O18" i="7" s="1"/>
  <c r="P18" i="7" s="1"/>
  <c r="G21" i="7" l="1"/>
  <c r="L19" i="4" l="1"/>
  <c r="E22" i="7"/>
  <c r="I19" i="7"/>
  <c r="J20" i="4" l="1"/>
  <c r="B22" i="7"/>
  <c r="G22" i="7" l="1"/>
  <c r="J19" i="7"/>
  <c r="O19" i="7" s="1"/>
  <c r="P19" i="7" s="1"/>
  <c r="L20" i="4" l="1"/>
  <c r="E23" i="7"/>
  <c r="J21" i="4" l="1"/>
  <c r="B23" i="7"/>
  <c r="G23" i="7" l="1"/>
  <c r="E24" i="7"/>
  <c r="L21" i="4"/>
  <c r="J22" i="4" l="1"/>
  <c r="B24" i="7"/>
  <c r="I20" i="7"/>
  <c r="F44" i="10" l="1"/>
  <c r="G24" i="7"/>
  <c r="J20" i="7"/>
  <c r="O20" i="7" s="1"/>
  <c r="P20" i="7" s="1"/>
  <c r="H45" i="10" l="1"/>
  <c r="L45" i="10"/>
  <c r="L22" i="4"/>
  <c r="E25" i="7"/>
  <c r="I21" i="7"/>
  <c r="F47" i="10" l="1"/>
  <c r="J23" i="4"/>
  <c r="B25" i="7"/>
  <c r="B58" i="10" l="1"/>
  <c r="B62" i="10"/>
  <c r="B59" i="10"/>
  <c r="B63" i="10"/>
  <c r="B56" i="10"/>
  <c r="B60" i="10"/>
  <c r="B64" i="10"/>
  <c r="J63" i="10" s="1"/>
  <c r="L63" i="10" s="1"/>
  <c r="B57" i="10"/>
  <c r="B61" i="10"/>
  <c r="B55" i="10"/>
  <c r="G25" i="7"/>
  <c r="J21" i="7"/>
  <c r="O21" i="7" s="1"/>
  <c r="P21" i="7" s="1"/>
  <c r="J60" i="10" l="1"/>
  <c r="L60" i="10" s="1"/>
  <c r="J56" i="10"/>
  <c r="L56" i="10" s="1"/>
  <c r="J62" i="10"/>
  <c r="L62" i="10" s="1"/>
  <c r="J58" i="10"/>
  <c r="L58" i="10" s="1"/>
  <c r="C55" i="10"/>
  <c r="F55" i="10" s="1"/>
  <c r="H55" i="10" s="1"/>
  <c r="V50" i="10" s="1"/>
  <c r="J54" i="10"/>
  <c r="L54" i="10" s="1"/>
  <c r="J59" i="10"/>
  <c r="L59" i="10" s="1"/>
  <c r="J61" i="10"/>
  <c r="L61" i="10" s="1"/>
  <c r="J55" i="10"/>
  <c r="L55" i="10" s="1"/>
  <c r="J57" i="10"/>
  <c r="L57" i="10" s="1"/>
  <c r="L23" i="4"/>
  <c r="V128" i="10" l="1"/>
  <c r="W128" i="10" s="1"/>
  <c r="W50" i="10"/>
  <c r="B72" i="10"/>
  <c r="E72" i="10" s="1"/>
  <c r="F13" i="5" s="1"/>
  <c r="B167" i="10"/>
  <c r="E167" i="10" s="1"/>
  <c r="F29" i="5" s="1"/>
  <c r="C56" i="10"/>
  <c r="F31" i="4" l="1"/>
  <c r="M31" i="4" s="1"/>
  <c r="C33" i="6" s="1"/>
  <c r="F14" i="4"/>
  <c r="M14" i="4" s="1"/>
  <c r="C15" i="6" s="1"/>
  <c r="F56" i="10"/>
  <c r="H56" i="10" s="1"/>
  <c r="V51" i="10" s="1"/>
  <c r="I22" i="7"/>
  <c r="V129" i="10" l="1"/>
  <c r="W129" i="10" s="1"/>
  <c r="W51" i="10"/>
  <c r="L35" i="7"/>
  <c r="M35" i="7" s="1"/>
  <c r="B73" i="10"/>
  <c r="E73" i="10" s="1"/>
  <c r="F14" i="5" s="1"/>
  <c r="B168" i="10"/>
  <c r="E168" i="10" s="1"/>
  <c r="F30" i="5" s="1"/>
  <c r="L16" i="7"/>
  <c r="D15" i="6" s="1"/>
  <c r="E15" i="6" s="1"/>
  <c r="B16" i="6" s="1"/>
  <c r="C57" i="10"/>
  <c r="F57" i="10" s="1"/>
  <c r="D33" i="6" l="1"/>
  <c r="E33" i="6" s="1"/>
  <c r="B34" i="6" s="1"/>
  <c r="M16" i="7"/>
  <c r="B13" i="5" s="1"/>
  <c r="D13" i="5" s="1"/>
  <c r="H13" i="5" s="1"/>
  <c r="F32" i="4"/>
  <c r="B169" i="10"/>
  <c r="E169" i="10" s="1"/>
  <c r="F31" i="5" s="1"/>
  <c r="H57" i="10"/>
  <c r="V52" i="10" s="1"/>
  <c r="F15" i="4"/>
  <c r="B74" i="10"/>
  <c r="E74" i="10" s="1"/>
  <c r="F15" i="5" s="1"/>
  <c r="H36" i="7"/>
  <c r="C32" i="4" s="1"/>
  <c r="B29" i="5"/>
  <c r="D29" i="5" s="1"/>
  <c r="H29" i="5" s="1"/>
  <c r="C58" i="10"/>
  <c r="F58" i="10" s="1"/>
  <c r="J22" i="7"/>
  <c r="O22" i="7" s="1"/>
  <c r="P22" i="7" s="1"/>
  <c r="V130" i="10" l="1"/>
  <c r="W130" i="10" s="1"/>
  <c r="W52" i="10"/>
  <c r="M32" i="4"/>
  <c r="L36" i="7" s="1"/>
  <c r="H17" i="7"/>
  <c r="C15" i="4" s="1"/>
  <c r="M15" i="4" s="1"/>
  <c r="C16" i="6" s="1"/>
  <c r="F33" i="4"/>
  <c r="B170" i="10"/>
  <c r="E170" i="10" s="1"/>
  <c r="F32" i="5" s="1"/>
  <c r="H58" i="10"/>
  <c r="V53" i="10" s="1"/>
  <c r="F16" i="4"/>
  <c r="B75" i="10"/>
  <c r="E75" i="10" s="1"/>
  <c r="F16" i="5" s="1"/>
  <c r="C59" i="10"/>
  <c r="F59" i="10" s="1"/>
  <c r="C34" i="6" l="1"/>
  <c r="V131" i="10"/>
  <c r="W131" i="10" s="1"/>
  <c r="W53" i="10"/>
  <c r="L17" i="7"/>
  <c r="D16" i="6" s="1"/>
  <c r="E16" i="6" s="1"/>
  <c r="B17" i="6" s="1"/>
  <c r="F34" i="4"/>
  <c r="B171" i="10"/>
  <c r="E171" i="10" s="1"/>
  <c r="F33" i="5" s="1"/>
  <c r="H59" i="10"/>
  <c r="V54" i="10" s="1"/>
  <c r="F17" i="4"/>
  <c r="B76" i="10"/>
  <c r="E76" i="10" s="1"/>
  <c r="F17" i="5" s="1"/>
  <c r="D34" i="6"/>
  <c r="E34" i="6" s="1"/>
  <c r="B35" i="6" s="1"/>
  <c r="M36" i="7"/>
  <c r="C60" i="10"/>
  <c r="F60" i="10" s="1"/>
  <c r="W54" i="10" l="1"/>
  <c r="V132" i="10"/>
  <c r="W132" i="10" s="1"/>
  <c r="M17" i="7"/>
  <c r="B14" i="5" s="1"/>
  <c r="D14" i="5" s="1"/>
  <c r="H14" i="5" s="1"/>
  <c r="F35" i="4"/>
  <c r="B172" i="10"/>
  <c r="E172" i="10" s="1"/>
  <c r="F34" i="5" s="1"/>
  <c r="H60" i="10"/>
  <c r="V55" i="10" s="1"/>
  <c r="F18" i="4"/>
  <c r="B77" i="10"/>
  <c r="E77" i="10" s="1"/>
  <c r="F18" i="5" s="1"/>
  <c r="B30" i="5"/>
  <c r="D30" i="5" s="1"/>
  <c r="H30" i="5" s="1"/>
  <c r="H37" i="7"/>
  <c r="C33" i="4" s="1"/>
  <c r="M33" i="4" s="1"/>
  <c r="C61" i="10"/>
  <c r="F61" i="10" s="1"/>
  <c r="W55" i="10" l="1"/>
  <c r="V133" i="10"/>
  <c r="W133" i="10" s="1"/>
  <c r="F44" i="4"/>
  <c r="H18" i="7"/>
  <c r="C16" i="4" s="1"/>
  <c r="M16" i="4" s="1"/>
  <c r="L18" i="7" s="1"/>
  <c r="D17" i="6" s="1"/>
  <c r="F36" i="4"/>
  <c r="B173" i="10"/>
  <c r="E173" i="10" s="1"/>
  <c r="F35" i="5" s="1"/>
  <c r="H61" i="10"/>
  <c r="V56" i="10" s="1"/>
  <c r="F19" i="4"/>
  <c r="B78" i="10"/>
  <c r="E78" i="10" s="1"/>
  <c r="F19" i="5" s="1"/>
  <c r="L37" i="7"/>
  <c r="C35" i="6"/>
  <c r="C62" i="10"/>
  <c r="F62" i="10" s="1"/>
  <c r="H62" i="10" s="1"/>
  <c r="V57" i="10" s="1"/>
  <c r="I23" i="7"/>
  <c r="W56" i="10" l="1"/>
  <c r="V134" i="10"/>
  <c r="W134" i="10" s="1"/>
  <c r="W57" i="10"/>
  <c r="V135" i="10"/>
  <c r="W135" i="10" s="1"/>
  <c r="C17" i="6"/>
  <c r="E17" i="6" s="1"/>
  <c r="B18" i="6" s="1"/>
  <c r="M18" i="7"/>
  <c r="H19" i="7" s="1"/>
  <c r="C17" i="4" s="1"/>
  <c r="M17" i="4" s="1"/>
  <c r="L19" i="7" s="1"/>
  <c r="F37" i="4"/>
  <c r="B79" i="10"/>
  <c r="E79" i="10" s="1"/>
  <c r="F20" i="5" s="1"/>
  <c r="B174" i="10"/>
  <c r="E174" i="10" s="1"/>
  <c r="F36" i="5" s="1"/>
  <c r="F20" i="4"/>
  <c r="M37" i="7"/>
  <c r="D35" i="6"/>
  <c r="E35" i="6" s="1"/>
  <c r="B36" i="6" s="1"/>
  <c r="C63" i="10"/>
  <c r="F63" i="10" s="1"/>
  <c r="J23" i="7"/>
  <c r="O23" i="7" s="1"/>
  <c r="P23" i="7" s="1"/>
  <c r="C18" i="6" l="1"/>
  <c r="B15" i="5"/>
  <c r="D15" i="5" s="1"/>
  <c r="H15" i="5" s="1"/>
  <c r="F38" i="4"/>
  <c r="B175" i="10"/>
  <c r="E175" i="10" s="1"/>
  <c r="H63" i="10"/>
  <c r="V58" i="10" s="1"/>
  <c r="F21" i="4"/>
  <c r="B80" i="10"/>
  <c r="E80" i="10" s="1"/>
  <c r="B31" i="5"/>
  <c r="D31" i="5" s="1"/>
  <c r="H31" i="5" s="1"/>
  <c r="H38" i="7"/>
  <c r="C34" i="4" s="1"/>
  <c r="M34" i="4" s="1"/>
  <c r="C64" i="10"/>
  <c r="F64" i="10" s="1"/>
  <c r="B176" i="10" s="1"/>
  <c r="D18" i="6"/>
  <c r="M19" i="7"/>
  <c r="E18" i="6" l="1"/>
  <c r="B19" i="6" s="1"/>
  <c r="V136" i="10"/>
  <c r="W136" i="10" s="1"/>
  <c r="W58" i="10"/>
  <c r="F40" i="4"/>
  <c r="F37" i="5"/>
  <c r="F23" i="4"/>
  <c r="F21" i="5"/>
  <c r="F22" i="4"/>
  <c r="F39" i="4"/>
  <c r="B81" i="10"/>
  <c r="L38" i="7"/>
  <c r="C36" i="6"/>
  <c r="H20" i="7"/>
  <c r="C18" i="4" s="1"/>
  <c r="M18" i="4" s="1"/>
  <c r="B16" i="5"/>
  <c r="D16" i="5" s="1"/>
  <c r="H16" i="5" s="1"/>
  <c r="M38" i="7" l="1"/>
  <c r="D36" i="6"/>
  <c r="E36" i="6" s="1"/>
  <c r="B37" i="6" s="1"/>
  <c r="C19" i="6"/>
  <c r="L20" i="7"/>
  <c r="B32" i="5" l="1"/>
  <c r="D32" i="5" s="1"/>
  <c r="H32" i="5" s="1"/>
  <c r="H39" i="7"/>
  <c r="C35" i="4" s="1"/>
  <c r="D19" i="6"/>
  <c r="E19" i="6" s="1"/>
  <c r="B20" i="6" s="1"/>
  <c r="M20" i="7"/>
  <c r="I24" i="7"/>
  <c r="J24" i="7"/>
  <c r="M35" i="4" l="1"/>
  <c r="M44" i="4" s="1"/>
  <c r="C44" i="4"/>
  <c r="O24" i="7"/>
  <c r="P24" i="7" s="1"/>
  <c r="C37" i="6"/>
  <c r="H21" i="7"/>
  <c r="C19" i="4" s="1"/>
  <c r="M19" i="4" s="1"/>
  <c r="B17" i="5"/>
  <c r="D17" i="5" s="1"/>
  <c r="H17" i="5" s="1"/>
  <c r="L39" i="7" l="1"/>
  <c r="M39" i="7" s="1"/>
  <c r="L21" i="7"/>
  <c r="C20" i="6"/>
  <c r="D37" i="6" l="1"/>
  <c r="E37" i="6" s="1"/>
  <c r="B38" i="6" s="1"/>
  <c r="B33" i="5"/>
  <c r="D33" i="5" s="1"/>
  <c r="H33" i="5" s="1"/>
  <c r="H40" i="7"/>
  <c r="C36" i="4" s="1"/>
  <c r="M36" i="4" s="1"/>
  <c r="D20" i="6"/>
  <c r="E20" i="6" s="1"/>
  <c r="B21" i="6" s="1"/>
  <c r="M21" i="7"/>
  <c r="L40" i="7" l="1"/>
  <c r="C38" i="6"/>
  <c r="H22" i="7"/>
  <c r="C20" i="4" s="1"/>
  <c r="M20" i="4" s="1"/>
  <c r="B18" i="5"/>
  <c r="D18" i="5" s="1"/>
  <c r="H18" i="5" s="1"/>
  <c r="I25" i="7"/>
  <c r="M40" i="7" l="1"/>
  <c r="D38" i="6"/>
  <c r="E38" i="6" s="1"/>
  <c r="B39" i="6" s="1"/>
  <c r="C21" i="6"/>
  <c r="L22" i="7"/>
  <c r="J25" i="7"/>
  <c r="O25" i="7" s="1"/>
  <c r="P25" i="7" s="1"/>
  <c r="B34" i="5" l="1"/>
  <c r="D34" i="5" s="1"/>
  <c r="H34" i="5" s="1"/>
  <c r="H41" i="7"/>
  <c r="C37" i="4" s="1"/>
  <c r="M37" i="4" s="1"/>
  <c r="D21" i="6"/>
  <c r="E21" i="6" s="1"/>
  <c r="B22" i="6" s="1"/>
  <c r="M22" i="7"/>
  <c r="L41" i="7" l="1"/>
  <c r="C39" i="6"/>
  <c r="H23" i="7"/>
  <c r="C21" i="4" s="1"/>
  <c r="M21" i="4" s="1"/>
  <c r="B19" i="5"/>
  <c r="D19" i="5" s="1"/>
  <c r="H19" i="5" s="1"/>
  <c r="M41" i="7" l="1"/>
  <c r="D39" i="6"/>
  <c r="E39" i="6" s="1"/>
  <c r="B40" i="6" s="1"/>
  <c r="C22" i="6"/>
  <c r="L23" i="7"/>
  <c r="H42" i="7" l="1"/>
  <c r="C38" i="4" s="1"/>
  <c r="M38" i="4" s="1"/>
  <c r="B35" i="5"/>
  <c r="D35" i="5" s="1"/>
  <c r="H35" i="5" s="1"/>
  <c r="D22" i="6"/>
  <c r="E22" i="6" s="1"/>
  <c r="B23" i="6" s="1"/>
  <c r="M23" i="7"/>
  <c r="L42" i="7" l="1"/>
  <c r="C40" i="6"/>
  <c r="H24" i="7"/>
  <c r="C22" i="4" s="1"/>
  <c r="M22" i="4" s="1"/>
  <c r="B20" i="5"/>
  <c r="D20" i="5" s="1"/>
  <c r="H20" i="5" s="1"/>
  <c r="M42" i="7" l="1"/>
  <c r="D40" i="6"/>
  <c r="E40" i="6" s="1"/>
  <c r="B41" i="6" s="1"/>
  <c r="L24" i="7"/>
  <c r="C23" i="6"/>
  <c r="H43" i="7" l="1"/>
  <c r="C39" i="4" s="1"/>
  <c r="M39" i="4" s="1"/>
  <c r="B36" i="5"/>
  <c r="D36" i="5" s="1"/>
  <c r="H36" i="5" s="1"/>
  <c r="D23" i="6"/>
  <c r="E23" i="6" s="1"/>
  <c r="B24" i="6" s="1"/>
  <c r="M24" i="7"/>
  <c r="L43" i="7" l="1"/>
  <c r="C41" i="6"/>
  <c r="H25" i="7"/>
  <c r="C23" i="4" s="1"/>
  <c r="M23" i="4" s="1"/>
  <c r="B21" i="5"/>
  <c r="D21" i="5" s="1"/>
  <c r="H21" i="5" s="1"/>
  <c r="M43" i="7" l="1"/>
  <c r="D41" i="6"/>
  <c r="E41" i="6" s="1"/>
  <c r="B42" i="6" s="1"/>
  <c r="L25" i="7"/>
  <c r="C24" i="6"/>
  <c r="H44" i="7" l="1"/>
  <c r="C40" i="4" s="1"/>
  <c r="M40" i="4" s="1"/>
  <c r="B37" i="5"/>
  <c r="D37" i="5" s="1"/>
  <c r="H37" i="5" s="1"/>
  <c r="D24" i="6"/>
  <c r="E24" i="6" s="1"/>
  <c r="M25" i="7"/>
  <c r="B22" i="5" s="1"/>
  <c r="D22" i="5" s="1"/>
  <c r="H22" i="5" s="1"/>
  <c r="L44" i="7" l="1"/>
  <c r="C42" i="6"/>
  <c r="M44" i="7" l="1"/>
  <c r="B38" i="5" s="1"/>
  <c r="D38" i="5" s="1"/>
  <c r="H38" i="5" s="1"/>
  <c r="D42" i="6"/>
  <c r="E42" i="6" s="1"/>
</calcChain>
</file>

<file path=xl/sharedStrings.xml><?xml version="1.0" encoding="utf-8"?>
<sst xmlns="http://schemas.openxmlformats.org/spreadsheetml/2006/main" count="678" uniqueCount="199">
  <si>
    <t xml:space="preserve">Policy </t>
  </si>
  <si>
    <t>Year</t>
  </si>
  <si>
    <t>Mortality</t>
  </si>
  <si>
    <t>Rate</t>
  </si>
  <si>
    <t>Premium</t>
  </si>
  <si>
    <t>Expense</t>
  </si>
  <si>
    <t>Commission</t>
  </si>
  <si>
    <t>Investment</t>
  </si>
  <si>
    <t>Income</t>
  </si>
  <si>
    <t>Maintenance</t>
  </si>
  <si>
    <t>Acquisition</t>
  </si>
  <si>
    <t>Surrender</t>
  </si>
  <si>
    <t>GAAP</t>
  </si>
  <si>
    <t>DAC</t>
  </si>
  <si>
    <t>Assets</t>
  </si>
  <si>
    <t>Equity</t>
  </si>
  <si>
    <t>Shareholder</t>
  </si>
  <si>
    <t>Dividend</t>
  </si>
  <si>
    <t>Total</t>
  </si>
  <si>
    <t>Amortization</t>
  </si>
  <si>
    <t>Input</t>
  </si>
  <si>
    <t>Number of policies</t>
  </si>
  <si>
    <t>Account</t>
  </si>
  <si>
    <t>General</t>
  </si>
  <si>
    <t>Yield</t>
  </si>
  <si>
    <t>Deferrable</t>
  </si>
  <si>
    <t>Per Policy</t>
  </si>
  <si>
    <t>Acquistion</t>
  </si>
  <si>
    <t>Defble Acq</t>
  </si>
  <si>
    <t>Actuarial balances</t>
  </si>
  <si>
    <t>End of</t>
  </si>
  <si>
    <t>Policies</t>
  </si>
  <si>
    <t>Deaths</t>
  </si>
  <si>
    <t>Surrenders</t>
  </si>
  <si>
    <t>End of year</t>
  </si>
  <si>
    <t>Non-Commission</t>
  </si>
  <si>
    <t>Expenses</t>
  </si>
  <si>
    <t>DAC rollforward</t>
  </si>
  <si>
    <t>Deferrals</t>
  </si>
  <si>
    <t>Income Statement</t>
  </si>
  <si>
    <t>Non-defble</t>
  </si>
  <si>
    <t>Death</t>
  </si>
  <si>
    <t>Benefits</t>
  </si>
  <si>
    <t>in Reserve</t>
  </si>
  <si>
    <t>Net</t>
  </si>
  <si>
    <t>Non-defbl</t>
  </si>
  <si>
    <t>Invested asset rollforward</t>
  </si>
  <si>
    <t>General account asset rollforward</t>
  </si>
  <si>
    <t>Dividends</t>
  </si>
  <si>
    <t>Invested</t>
  </si>
  <si>
    <t>Balance sheet</t>
  </si>
  <si>
    <t>Liabilities</t>
  </si>
  <si>
    <t>GAAP Equity Rollforward</t>
  </si>
  <si>
    <t xml:space="preserve">Beg of </t>
  </si>
  <si>
    <t xml:space="preserve">Premium </t>
  </si>
  <si>
    <t>Tax</t>
  </si>
  <si>
    <t>Per Unit</t>
  </si>
  <si>
    <t>Net Inv</t>
  </si>
  <si>
    <t>Cash Value</t>
  </si>
  <si>
    <t>Discount</t>
  </si>
  <si>
    <t>Reserve</t>
  </si>
  <si>
    <t>Change</t>
  </si>
  <si>
    <t>Interest</t>
  </si>
  <si>
    <t>Average units per policy</t>
  </si>
  <si>
    <t>Units</t>
  </si>
  <si>
    <t>Net Premium Determination</t>
  </si>
  <si>
    <t>Factor</t>
  </si>
  <si>
    <t>PV Premium</t>
  </si>
  <si>
    <t>Interest Rate</t>
  </si>
  <si>
    <t>B.O.Y.</t>
  </si>
  <si>
    <t>.EO.Y.</t>
  </si>
  <si>
    <t>PV</t>
  </si>
  <si>
    <t>Number of</t>
  </si>
  <si>
    <t>Unit</t>
  </si>
  <si>
    <t>PV Total</t>
  </si>
  <si>
    <t>Total Present Value</t>
  </si>
  <si>
    <t>As a percent of PV Premiums</t>
  </si>
  <si>
    <t>Net premium / Gross premium</t>
  </si>
  <si>
    <t>Net Premium</t>
  </si>
  <si>
    <t>Required</t>
  </si>
  <si>
    <t>As of issue date</t>
  </si>
  <si>
    <t>25% additional mortality in year 5</t>
  </si>
  <si>
    <t>Sum</t>
  </si>
  <si>
    <t>During</t>
  </si>
  <si>
    <t>of deferrable</t>
  </si>
  <si>
    <t>Percent</t>
  </si>
  <si>
    <t>expenses</t>
  </si>
  <si>
    <t>from original schedule</t>
  </si>
  <si>
    <t>newly calculated</t>
  </si>
  <si>
    <t>Notes</t>
  </si>
  <si>
    <t>of DAC at</t>
  </si>
  <si>
    <t>end of year 4</t>
  </si>
  <si>
    <t>Expected</t>
  </si>
  <si>
    <t xml:space="preserve">Cash </t>
  </si>
  <si>
    <t>Value</t>
  </si>
  <si>
    <t>Cash</t>
  </si>
  <si>
    <t>1 Year Full Preliminary Term using Cash Value interest and mortality rates</t>
  </si>
  <si>
    <t>NA</t>
  </si>
  <si>
    <t>tpx</t>
  </si>
  <si>
    <t>Per BOY</t>
  </si>
  <si>
    <t>Benefit</t>
  </si>
  <si>
    <t>tpx*vt</t>
  </si>
  <si>
    <t>Maturity</t>
  </si>
  <si>
    <t>BOY</t>
  </si>
  <si>
    <t>EOY</t>
  </si>
  <si>
    <t>per unit</t>
  </si>
  <si>
    <t>Dividend Detemination (assume all assumptions occur as expected and dividends paid in cash)</t>
  </si>
  <si>
    <t>Profit charge</t>
  </si>
  <si>
    <t xml:space="preserve">Expected </t>
  </si>
  <si>
    <t>Excess</t>
  </si>
  <si>
    <t>Credit</t>
  </si>
  <si>
    <t>per Unit</t>
  </si>
  <si>
    <t>Net Amount</t>
  </si>
  <si>
    <t>at Risk</t>
  </si>
  <si>
    <t>Census using reserve assumptions</t>
  </si>
  <si>
    <t>Census using best estimate assumptions</t>
  </si>
  <si>
    <t>Reserve calculation using best estimate assumptions</t>
  </si>
  <si>
    <t>E.O.Y Reserve @</t>
  </si>
  <si>
    <t>E.O.Y Units @</t>
  </si>
  <si>
    <t>E.O.Y. Units@</t>
  </si>
  <si>
    <t>Best Estimate</t>
  </si>
  <si>
    <t>Decrements</t>
  </si>
  <si>
    <t>Policy</t>
  </si>
  <si>
    <t>Census using revised best estimate assumptions</t>
  </si>
  <si>
    <t>Claims</t>
  </si>
  <si>
    <t>Per Death</t>
  </si>
  <si>
    <t>Claim</t>
  </si>
  <si>
    <t xml:space="preserve">Policyholder </t>
  </si>
  <si>
    <t>Policyholder</t>
  </si>
  <si>
    <t>Reserve calculation using reserve assumptions (retrospective method)</t>
  </si>
  <si>
    <t>Reserve calculation using reserve assumptions prospective method)</t>
  </si>
  <si>
    <t>Present Value</t>
  </si>
  <si>
    <t>of Future</t>
  </si>
  <si>
    <t>E.O.Y</t>
  </si>
  <si>
    <t>Cash Flow</t>
  </si>
  <si>
    <t>Liability</t>
  </si>
  <si>
    <t>Liability CF</t>
  </si>
  <si>
    <t>excl Def Exp</t>
  </si>
  <si>
    <t>(EOY)</t>
  </si>
  <si>
    <t>Present Value:</t>
  </si>
  <si>
    <t>Benefts</t>
  </si>
  <si>
    <t>Gross</t>
  </si>
  <si>
    <t>Present values of projected cash flows with reserve assumptions</t>
  </si>
  <si>
    <t>Paid</t>
  </si>
  <si>
    <t>Units Released</t>
  </si>
  <si>
    <t>by Death</t>
  </si>
  <si>
    <t>by Surrender</t>
  </si>
  <si>
    <t>Reserves</t>
  </si>
  <si>
    <t>Sum of Current</t>
  </si>
  <si>
    <t>and Future Units</t>
  </si>
  <si>
    <t>(BOY)</t>
  </si>
  <si>
    <t>Percentage</t>
  </si>
  <si>
    <t>Amount</t>
  </si>
  <si>
    <t>Maint.</t>
  </si>
  <si>
    <t>Acq. Exp.</t>
  </si>
  <si>
    <t>Alternative Year 5 DAC:</t>
  </si>
  <si>
    <t>Table 6-4</t>
  </si>
  <si>
    <t>Table 6-5</t>
  </si>
  <si>
    <t>Table 6-6</t>
  </si>
  <si>
    <t>Table 6-7 Projection of reserves</t>
  </si>
  <si>
    <t>Table 6-8 Projection of DAC balances</t>
  </si>
  <si>
    <t>Table 6-9 Net income</t>
  </si>
  <si>
    <t>Table 6-10 Projection of reserves - higher mortality in year 5</t>
  </si>
  <si>
    <t>Table 6-11 Revised DAC amortization from year 5 onward</t>
  </si>
  <si>
    <t>Table 6-12 Net income - higher mortality in year 5</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</si>
  <si>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</si>
  <si>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</si>
  <si>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</si>
  <si>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</si>
  <si>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</si>
  <si>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</si>
  <si>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</si>
  <si>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</si>
  <si>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</si>
  <si>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</si>
  <si>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</si>
  <si>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There are level premiums.</t>
  </si>
  <si>
    <t>There is a scheduled cash value to the policyholder on policy surrender.</t>
  </si>
  <si>
    <t>The modeling performed herein does not demonstrate the impact of reinsurance.</t>
  </si>
  <si>
    <t>Modeling Scenarios</t>
  </si>
  <si>
    <t>Participating Life Insurance</t>
  </si>
  <si>
    <t>There are annual policyholder dividends.</t>
  </si>
  <si>
    <t>This spreadsheet is not intended to be a financial reporting or valuation system.  It was developed solely for the purpose of constructing numerical examples for the text and is not suitable for any other application.</t>
  </si>
  <si>
    <t>Product Characteristics</t>
  </si>
  <si>
    <t>Modeling Assumptions</t>
  </si>
  <si>
    <t>Premiums, commissions, acquisition and maintenance expenses are assumed to be paid at the beginning of the policy year.</t>
  </si>
  <si>
    <t>Deaths, claim expenses, and lapses are assumed to occur at the end of the policy year.</t>
  </si>
  <si>
    <t>For simplicity, dividends paid to shareholders, which are essentially additions to surplus in a mutual company, are assumed to be the full amount of GAAP profits earned during the period.</t>
  </si>
  <si>
    <t xml:space="preserve">Two scenarios are presented in the following tabs. </t>
  </si>
  <si>
    <t>The modeled policies represent a cohort of 1,000 policies issued.  Each policy is insured for 100 units, where each unit equals 1,000 of face amount.</t>
  </si>
  <si>
    <t>The product modeled is a participating 10-year endowment policy.  There is a fixed face amount, payable at death and the end of the endowment period, if the policyholder survives.</t>
  </si>
  <si>
    <t>1) As of issue date: Represents the base case scenario, where experience develops as originally expected.</t>
  </si>
  <si>
    <t>2) 25% Additional Mortality in Year 5: Represents a scenario in which there is a mortality shock in year 5.  Mortality returns to originally expected levels in years 6-10.</t>
  </si>
  <si>
    <t>Hard-coded / assumption inputs have text colored blue.</t>
  </si>
  <si>
    <t>Formulas have text colored black.</t>
  </si>
  <si>
    <t>Version: 2024 04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</si>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</sst>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0.0%"/>
    <numFmt numFmtId="165" formatCode="_(* #,##0_);_(* \(#,##0\);_(* &quot;-&quot;??_);_(@_)"/>
    <numFmt numFmtId="166" formatCode="_(* #,##0.0_);_(* \(#,##0.0\);_(* &quot;-&quot;??_);_(@_)"/>
    <numFmt numFmtId="167" formatCode="_(* #,##0.0000_);_(* \(#,##0.0000\);_(* &quot;-&quot;??_);_(@_)"/>
    <numFmt numFmtId="168" formatCode="_(* #,##0_);_(* \(#,##0\);_(* &quot;-&quot;?_);_(@_)"/>
    <numFmt numFmtId="169" formatCode="0.0000"/>
    <numFmt numFmtId="170" formatCode="0.00000"/>
    <numFmt numFmtId="171" formatCode="0.000%"/>
  </numFmts>
  <fonts count="12" x14ac:knownFonts="1">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sz val="11"/>
      <color rgb="FF0070C0"/>
      <name val="Calibri"/>
      <family val="2"/>
      <scheme val="minor"/>
    </font>
    <font>
      <sz val="10"/>
      <name val="Arial"/>
      <family val="2"/>
    </font>
    <font>
      <b/>
      <i/>
      <sz val="11"/>
      <color rgb="FFFF0000"/>
      <name val="Calibri"/>
      <family val="2"/>
      <scheme val="minor"/>
    </font>
    <font>
      <b/>
      <sz val="11"/>
      <color rgb="FFFF0000"/>
      <name val="Calibri"/>
      <family val="2"/>
      <scheme val="minor"/>
    </font>
    <font>
      <sz val="11"/>
      <name val="Calibri"/>
      <family val="2"/>
      <scheme val="minor"/>
    </font>
    <font>
      <b/>
      <sz val="11"/>
      <name val="Calibri"/>
      <family val="2"/>
      <scheme val="minor"/>
    </font>
    <font>
      <i/>
      <sz val="11"/>
      <name val="Calibri"/>
      <family val="2"/>
      <scheme val="minor"/>
    </font>
    <font>
      <sz val="10"/>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5" fillId="0" borderId="0"/>
  </cellStyleXfs>
  <cellXfs count="82">
    <xf numFmtId="0" fontId="0" fillId="0" borderId="0" xfId="0"/>
    <xf numFmtId="0" fontId="2" fillId="0" borderId="0" xfId="0" applyFont="1"/>
    <xf numFmtId="0" fontId="3" fillId="0" borderId="0" xfId="0" applyFont="1" applyAlignment="1">
      <alignment horizontal="right"/>
    </xf>
    <xf numFmtId="0" fontId="3" fillId="0" borderId="0" xfId="0" applyFont="1"/>
    <xf numFmtId="0" fontId="2" fillId="0" borderId="0" xfId="0" quotePrefix="1" applyFont="1"/>
    <xf numFmtId="170" fontId="2" fillId="0" borderId="0" xfId="0" applyNumberFormat="1" applyFont="1"/>
    <xf numFmtId="0" fontId="3" fillId="0" borderId="0" xfId="0" applyFont="1" applyAlignment="1">
      <alignment horizontal="left"/>
    </xf>
    <xf numFmtId="0" fontId="3" fillId="0" borderId="0" xfId="0" applyFont="1" applyAlignment="1">
      <alignment horizontal="center"/>
    </xf>
    <xf numFmtId="0" fontId="2" fillId="0" borderId="0" xfId="0" quotePrefix="1" applyFont="1" applyAlignment="1">
      <alignment horizontal="center"/>
    </xf>
    <xf numFmtId="0" fontId="2" fillId="0" borderId="0" xfId="0" applyFont="1" applyAlignment="1">
      <alignment horizontal="left"/>
    </xf>
    <xf numFmtId="0" fontId="2" fillId="0" borderId="0" xfId="0" quotePrefix="1" applyFont="1" applyAlignment="1">
      <alignment horizontal="left"/>
    </xf>
    <xf numFmtId="165" fontId="4" fillId="0" borderId="0" xfId="1" applyNumberFormat="1" applyFont="1"/>
    <xf numFmtId="43" fontId="4" fillId="0" borderId="1" xfId="1" applyFont="1" applyBorder="1"/>
    <xf numFmtId="10" fontId="4" fillId="0" borderId="1" xfId="2" applyNumberFormat="1" applyFont="1" applyBorder="1"/>
    <xf numFmtId="164" fontId="4" fillId="0" borderId="1" xfId="2" applyNumberFormat="1" applyFont="1" applyBorder="1"/>
    <xf numFmtId="165" fontId="4" fillId="0" borderId="1" xfId="1" applyNumberFormat="1" applyFont="1" applyBorder="1"/>
    <xf numFmtId="170" fontId="4" fillId="0" borderId="1" xfId="0" applyNumberFormat="1" applyFont="1" applyBorder="1"/>
    <xf numFmtId="43" fontId="4" fillId="0" borderId="1" xfId="1" applyFont="1" applyFill="1" applyBorder="1"/>
    <xf numFmtId="170" fontId="4" fillId="0" borderId="0" xfId="0" applyNumberFormat="1" applyFont="1"/>
    <xf numFmtId="0" fontId="6" fillId="0" borderId="0" xfId="0" applyFont="1"/>
    <xf numFmtId="0" fontId="1" fillId="0" borderId="0" xfId="0" applyFont="1"/>
    <xf numFmtId="0" fontId="7" fillId="0" borderId="0" xfId="4" applyFont="1"/>
    <xf numFmtId="0" fontId="8" fillId="0" borderId="0" xfId="4" applyFont="1"/>
    <xf numFmtId="0" fontId="9" fillId="0" borderId="0" xfId="4" applyFont="1"/>
    <xf numFmtId="0" fontId="4" fillId="0" borderId="0" xfId="4" applyFont="1"/>
    <xf numFmtId="0" fontId="8" fillId="0" borderId="0" xfId="4" quotePrefix="1" applyFont="1"/>
    <xf numFmtId="0" fontId="1" fillId="0" borderId="0" xfId="0" applyFont="1" applyAlignment="1">
      <alignment horizontal="left"/>
    </xf>
    <xf numFmtId="0" fontId="1" fillId="0" borderId="0" xfId="0" applyFont="1" applyAlignment="1">
      <alignment horizontal="center"/>
    </xf>
    <xf numFmtId="10" fontId="1" fillId="0" borderId="0" xfId="2" applyNumberFormat="1" applyFont="1"/>
    <xf numFmtId="165" fontId="1" fillId="0" borderId="0" xfId="1" applyNumberFormat="1" applyFont="1"/>
    <xf numFmtId="0" fontId="1" fillId="0" borderId="2" xfId="0" applyFont="1" applyBorder="1" applyAlignment="1">
      <alignment horizontal="center"/>
    </xf>
    <xf numFmtId="0" fontId="1" fillId="0" borderId="2" xfId="0" applyFont="1" applyBorder="1" applyAlignment="1">
      <alignment horizontal="right"/>
    </xf>
    <xf numFmtId="0" fontId="1" fillId="0" borderId="2" xfId="0" applyFont="1" applyBorder="1"/>
    <xf numFmtId="0" fontId="1" fillId="0" borderId="3" xfId="0" applyFont="1" applyBorder="1" applyAlignment="1">
      <alignment horizontal="center"/>
    </xf>
    <xf numFmtId="0" fontId="1" fillId="0" borderId="3" xfId="0" applyFont="1" applyBorder="1" applyAlignment="1">
      <alignment horizontal="right"/>
    </xf>
    <xf numFmtId="0" fontId="1" fillId="0" borderId="3" xfId="0" applyFont="1" applyBorder="1"/>
    <xf numFmtId="0" fontId="1" fillId="0" borderId="4" xfId="0" applyFont="1" applyBorder="1" applyAlignment="1">
      <alignment horizontal="center"/>
    </xf>
    <xf numFmtId="0" fontId="1" fillId="0" borderId="4" xfId="0" applyFont="1" applyBorder="1" applyAlignment="1">
      <alignment horizontal="right"/>
    </xf>
    <xf numFmtId="0" fontId="1" fillId="0" borderId="1" xfId="0" applyFont="1" applyBorder="1" applyAlignment="1">
      <alignment horizontal="center"/>
    </xf>
    <xf numFmtId="0" fontId="1" fillId="0" borderId="1" xfId="0" applyFont="1" applyBorder="1"/>
    <xf numFmtId="43" fontId="1" fillId="0" borderId="1" xfId="1" applyFont="1" applyFill="1" applyBorder="1"/>
    <xf numFmtId="164" fontId="1" fillId="0" borderId="0" xfId="2" applyNumberFormat="1" applyFont="1"/>
    <xf numFmtId="167" fontId="1" fillId="0" borderId="0" xfId="1" applyNumberFormat="1" applyFont="1"/>
    <xf numFmtId="164" fontId="1" fillId="0" borderId="0" xfId="0" applyNumberFormat="1" applyFont="1"/>
    <xf numFmtId="0" fontId="1" fillId="0" borderId="0" xfId="0" applyFont="1" applyAlignment="1">
      <alignment horizontal="right"/>
    </xf>
    <xf numFmtId="43" fontId="1" fillId="0" borderId="0" xfId="1" applyFont="1"/>
    <xf numFmtId="170" fontId="1" fillId="0" borderId="0" xfId="0" applyNumberFormat="1" applyFont="1"/>
    <xf numFmtId="9" fontId="1" fillId="0" borderId="0" xfId="2" applyFont="1"/>
    <xf numFmtId="10" fontId="1" fillId="0" borderId="0" xfId="0" applyNumberFormat="1" applyFont="1"/>
    <xf numFmtId="2" fontId="1" fillId="0" borderId="0" xfId="0" applyNumberFormat="1" applyFont="1"/>
    <xf numFmtId="9" fontId="1" fillId="0" borderId="0" xfId="0" applyNumberFormat="1" applyFont="1"/>
    <xf numFmtId="2" fontId="1" fillId="0" borderId="0" xfId="0" applyNumberFormat="1" applyFont="1" applyAlignment="1">
      <alignment horizontal="right"/>
    </xf>
    <xf numFmtId="166" fontId="1" fillId="0" borderId="0" xfId="1" applyNumberFormat="1" applyFont="1"/>
    <xf numFmtId="168" fontId="1" fillId="0" borderId="0" xfId="0" applyNumberFormat="1" applyFont="1"/>
    <xf numFmtId="43" fontId="1" fillId="0" borderId="0" xfId="0" applyNumberFormat="1" applyFont="1"/>
    <xf numFmtId="166" fontId="1" fillId="0" borderId="1" xfId="0" applyNumberFormat="1" applyFont="1" applyBorder="1"/>
    <xf numFmtId="169" fontId="1" fillId="0" borderId="0" xfId="0" applyNumberFormat="1" applyFont="1" applyAlignment="1">
      <alignment horizontal="right"/>
    </xf>
    <xf numFmtId="169" fontId="1" fillId="0" borderId="0" xfId="0" applyNumberFormat="1" applyFont="1"/>
    <xf numFmtId="165" fontId="1" fillId="0" borderId="1" xfId="0" applyNumberFormat="1" applyFont="1" applyBorder="1"/>
    <xf numFmtId="165" fontId="1" fillId="0" borderId="1" xfId="1" applyNumberFormat="1" applyFont="1" applyBorder="1"/>
    <xf numFmtId="0" fontId="1" fillId="0" borderId="5" xfId="0" applyFont="1" applyBorder="1"/>
    <xf numFmtId="0" fontId="1" fillId="0" borderId="6" xfId="0" applyFont="1" applyBorder="1"/>
    <xf numFmtId="165" fontId="1" fillId="0" borderId="0" xfId="0" applyNumberFormat="1" applyFont="1"/>
    <xf numFmtId="171" fontId="1" fillId="0" borderId="0" xfId="2" applyNumberFormat="1" applyFont="1"/>
    <xf numFmtId="44" fontId="1" fillId="0" borderId="0" xfId="3" applyFont="1"/>
    <xf numFmtId="166" fontId="1" fillId="0" borderId="0" xfId="1" applyNumberFormat="1" applyFont="1" applyFill="1"/>
    <xf numFmtId="166" fontId="1" fillId="0" borderId="0" xfId="0" applyNumberFormat="1" applyFont="1"/>
    <xf numFmtId="9" fontId="1" fillId="0" borderId="0" xfId="2" applyFont="1" applyFill="1"/>
    <xf numFmtId="165" fontId="1" fillId="0" borderId="0" xfId="1" applyNumberFormat="1" applyFont="1" applyFill="1"/>
    <xf numFmtId="164" fontId="1" fillId="0" borderId="0" xfId="2" applyNumberFormat="1" applyFont="1" applyFill="1"/>
    <xf numFmtId="43" fontId="1" fillId="0" borderId="0" xfId="1" applyFont="1" applyFill="1"/>
    <xf numFmtId="168" fontId="1" fillId="0" borderId="1" xfId="0" applyNumberFormat="1" applyFont="1" applyBorder="1"/>
    <xf numFmtId="2" fontId="1" fillId="0" borderId="1" xfId="0" applyNumberFormat="1" applyFont="1" applyBorder="1"/>
    <xf numFmtId="0" fontId="1" fillId="0" borderId="1" xfId="0" applyFont="1" applyBorder="1" applyAlignment="1">
      <alignment horizontal="right"/>
    </xf>
    <xf numFmtId="10" fontId="1" fillId="0" borderId="1" xfId="2" applyNumberFormat="1" applyFont="1" applyBorder="1"/>
    <xf numFmtId="165" fontId="1" fillId="0" borderId="0" xfId="0" applyNumberFormat="1" applyFont="1" applyAlignment="1">
      <alignment horizontal="right"/>
    </xf>
    <xf numFmtId="0" fontId="1" fillId="0" borderId="0" xfId="0" applyFont="1" applyAlignment="1">
      <alignment horizontal="left" vertical="center"/>
    </xf>
    <xf numFmtId="0" fontId="1" fillId="0" borderId="0" xfId="0" applyFont="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1" fillId="0" borderId="0" xfId="4" applyFont="1"/>
    <xf numFmtId="0" fontId="1" fillId="0" borderId="0" xfId="0" quotePrefix="1" applyFont="1" applyAlignment="1">
      <alignment horizontal="center"/>
    </xf>
  </cellXfs>
  <cellStyles count="5">
    <cellStyle name="Comma" xfId="1" builtinId="3"/>
    <cellStyle name="Currency" xfId="3" builtinId="4"/>
    <cellStyle name="Normal" xfId="0" builtinId="0"/>
    <cellStyle name="Normal 12" xfId="4" xr:uid="{CB379135-FC39-40ED-BC50-6A5FF20F044A}"/>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Units@" TargetMode="External"/><Relationship Id="rId1" Type="http://schemas.openxmlformats.org/officeDocument/2006/relationships/hyperlink" Target="mailto:Uni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90537-FBCF-40C8-B7C0-523095C5CADC}">
  <dimension ref="A1:W48"/>
  <sheetViews>
    <sheetView tabSelected="1" workbookViewId="0">
      <selection activeCell="L22" sqref="L22"/>
    </sheetView>
  </sheetViews>
  <sheetFormatPr defaultColWidth="8.85546875" defaultRowHeight="15" x14ac:dyDescent="0.25"/>
  <cols>
    <col min="1" max="3" width="1.85546875" style="22" customWidth="1"/>
    <col min="4" max="16384" width="8.85546875" style="22"/>
  </cols>
  <sheetData>
    <row r="1" spans="1:23" ht="13.35" customHeight="1" x14ac:dyDescent="0.25">
      <c r="A1" s="21" t="s">
        <v>165</v>
      </c>
      <c r="M1" s="20" t="s">
        <v>195</v>
      </c>
    </row>
    <row r="2" spans="1:23" ht="13.35" customHeight="1" x14ac:dyDescent="0.25">
      <c r="A2" s="19" t="s">
        <v>166</v>
      </c>
    </row>
    <row r="3" spans="1:23" ht="2.1" customHeight="1" x14ac:dyDescent="0.25"/>
    <row r="4" spans="1:23" ht="13.35" customHeight="1" x14ac:dyDescent="0.25">
      <c r="A4" s="23" t="s">
        <v>167</v>
      </c>
    </row>
    <row r="5" spans="1:23" ht="13.35" customHeight="1" x14ac:dyDescent="0.25">
      <c r="A5" s="24" t="s">
        <v>180</v>
      </c>
    </row>
    <row r="6" spans="1:23" ht="2.1" customHeight="1" x14ac:dyDescent="0.25">
      <c r="A6" s="21"/>
    </row>
    <row r="7" spans="1:23" ht="13.35" customHeight="1" x14ac:dyDescent="0.25">
      <c r="A7" s="1" t="s">
        <v>168</v>
      </c>
    </row>
    <row r="8" spans="1:23" ht="13.35" customHeight="1" x14ac:dyDescent="0.25">
      <c r="A8" s="1"/>
    </row>
    <row r="9" spans="1:23" ht="13.35" customHeight="1" x14ac:dyDescent="0.25">
      <c r="B9" s="22" t="s">
        <v>169</v>
      </c>
    </row>
    <row r="10" spans="1:23" ht="13.35" customHeight="1" x14ac:dyDescent="0.25"/>
    <row r="11" spans="1:23" ht="13.35" customHeight="1" x14ac:dyDescent="0.25">
      <c r="B11" s="22" t="s">
        <v>170</v>
      </c>
    </row>
    <row r="12" spans="1:23" ht="13.35" customHeight="1" x14ac:dyDescent="0.25">
      <c r="B12" s="22" t="s">
        <v>171</v>
      </c>
    </row>
    <row r="13" spans="1:23" ht="13.35" customHeight="1" x14ac:dyDescent="0.25">
      <c r="B13" s="22" t="s">
        <v>172</v>
      </c>
    </row>
    <row r="15" spans="1:23" s="80" customFormat="1" ht="13.35" customHeight="1" x14ac:dyDescent="0.25">
      <c r="A15" s="22"/>
      <c r="B15" s="22" t="s">
        <v>196</v>
      </c>
      <c r="C15" s="22"/>
      <c r="D15" s="22"/>
      <c r="E15" s="22"/>
      <c r="F15" s="22"/>
      <c r="G15" s="22"/>
      <c r="H15" s="22"/>
      <c r="I15" s="22"/>
      <c r="J15" s="22"/>
      <c r="K15" s="22"/>
      <c r="L15" s="22"/>
      <c r="M15" s="22"/>
      <c r="N15" s="22"/>
      <c r="O15" s="22"/>
      <c r="P15" s="22"/>
      <c r="Q15" s="22"/>
      <c r="R15" s="22"/>
      <c r="S15" s="22"/>
      <c r="T15" s="22"/>
      <c r="U15" s="22"/>
      <c r="V15" s="22"/>
      <c r="W15" s="22"/>
    </row>
    <row r="16" spans="1:23" s="80" customFormat="1" ht="13.35" customHeight="1" x14ac:dyDescent="0.25">
      <c r="A16" s="22"/>
      <c r="B16" s="22" t="s">
        <v>182</v>
      </c>
      <c r="C16" s="22"/>
      <c r="D16" s="22"/>
      <c r="E16" s="22"/>
      <c r="F16" s="22"/>
      <c r="G16" s="22"/>
      <c r="H16" s="22"/>
      <c r="I16" s="22"/>
      <c r="J16" s="22"/>
      <c r="K16" s="22"/>
      <c r="L16" s="22"/>
      <c r="M16" s="22"/>
      <c r="N16" s="22"/>
      <c r="O16" s="22"/>
      <c r="P16" s="22"/>
      <c r="Q16" s="22"/>
      <c r="R16" s="22"/>
      <c r="S16" s="22"/>
      <c r="T16" s="22"/>
      <c r="U16" s="22"/>
      <c r="V16" s="22"/>
      <c r="W16" s="22"/>
    </row>
    <row r="17" spans="1:23" s="80" customFormat="1" ht="13.35" customHeight="1" x14ac:dyDescent="0.25">
      <c r="A17" s="22"/>
      <c r="B17" s="22" t="s">
        <v>197</v>
      </c>
      <c r="C17" s="22"/>
      <c r="D17" s="22"/>
      <c r="E17" s="22"/>
      <c r="F17" s="22"/>
      <c r="G17" s="22"/>
      <c r="H17" s="22"/>
      <c r="I17" s="22"/>
      <c r="J17" s="22"/>
      <c r="K17" s="22"/>
      <c r="L17" s="22"/>
      <c r="M17" s="22"/>
      <c r="N17" s="22"/>
      <c r="O17" s="22"/>
      <c r="P17" s="22"/>
      <c r="Q17" s="22"/>
      <c r="R17" s="22"/>
      <c r="S17" s="22"/>
      <c r="T17" s="22"/>
      <c r="U17" s="22"/>
      <c r="V17" s="22"/>
      <c r="W17" s="22"/>
    </row>
    <row r="18" spans="1:23" s="80" customFormat="1" ht="13.35" customHeight="1" x14ac:dyDescent="0.25">
      <c r="A18" s="22"/>
      <c r="B18" s="22" t="s">
        <v>198</v>
      </c>
      <c r="C18" s="22"/>
      <c r="D18" s="22"/>
      <c r="E18" s="22"/>
      <c r="F18" s="22"/>
      <c r="G18" s="22"/>
      <c r="H18" s="22"/>
      <c r="I18" s="22"/>
      <c r="J18" s="22"/>
      <c r="K18" s="22"/>
      <c r="L18" s="22"/>
      <c r="M18" s="22"/>
      <c r="N18" s="22"/>
      <c r="O18" s="22"/>
      <c r="P18" s="22"/>
      <c r="Q18" s="22"/>
      <c r="R18" s="22"/>
      <c r="S18" s="22"/>
      <c r="T18" s="22"/>
      <c r="U18" s="22"/>
      <c r="V18" s="22"/>
      <c r="W18" s="22"/>
    </row>
    <row r="20" spans="1:23" ht="13.35" customHeight="1" x14ac:dyDescent="0.25">
      <c r="B20" s="23" t="s">
        <v>173</v>
      </c>
    </row>
    <row r="22" spans="1:23" ht="13.35" customHeight="1" x14ac:dyDescent="0.25">
      <c r="C22" s="22" t="s">
        <v>174</v>
      </c>
    </row>
    <row r="23" spans="1:23" ht="13.35" customHeight="1" x14ac:dyDescent="0.25">
      <c r="D23" s="24" t="s">
        <v>193</v>
      </c>
    </row>
    <row r="24" spans="1:23" ht="13.35" customHeight="1" x14ac:dyDescent="0.25">
      <c r="D24" s="22" t="s">
        <v>194</v>
      </c>
    </row>
    <row r="25" spans="1:23" ht="13.35" customHeight="1" x14ac:dyDescent="0.25">
      <c r="D25" s="22" t="s">
        <v>175</v>
      </c>
    </row>
    <row r="27" spans="1:23" ht="13.35" customHeight="1" x14ac:dyDescent="0.25">
      <c r="B27" s="23" t="s">
        <v>183</v>
      </c>
      <c r="I27" s="20"/>
      <c r="J27" s="20"/>
      <c r="K27" s="20"/>
      <c r="L27" s="20"/>
      <c r="M27" s="20"/>
    </row>
    <row r="28" spans="1:23" ht="13.35" customHeight="1" x14ac:dyDescent="0.25">
      <c r="B28" s="23"/>
      <c r="I28" s="20"/>
      <c r="J28" s="20"/>
      <c r="K28" s="20"/>
      <c r="L28" s="20"/>
      <c r="M28" s="20"/>
    </row>
    <row r="29" spans="1:23" ht="13.35" customHeight="1" x14ac:dyDescent="0.25">
      <c r="C29" s="22" t="s">
        <v>190</v>
      </c>
      <c r="I29" s="20"/>
      <c r="J29" s="20"/>
      <c r="K29" s="20"/>
      <c r="L29" s="20"/>
      <c r="M29" s="20"/>
    </row>
    <row r="30" spans="1:23" ht="13.35" customHeight="1" x14ac:dyDescent="0.25">
      <c r="C30" s="22" t="s">
        <v>176</v>
      </c>
      <c r="I30" s="20"/>
      <c r="J30" s="20"/>
      <c r="K30" s="20"/>
      <c r="L30" s="20"/>
      <c r="M30" s="20"/>
    </row>
    <row r="31" spans="1:23" ht="13.35" customHeight="1" x14ac:dyDescent="0.25">
      <c r="C31" s="22" t="s">
        <v>177</v>
      </c>
      <c r="I31" s="20"/>
      <c r="J31" s="20"/>
      <c r="K31" s="20"/>
      <c r="L31" s="20"/>
      <c r="M31" s="20"/>
    </row>
    <row r="32" spans="1:23" ht="13.35" customHeight="1" x14ac:dyDescent="0.25">
      <c r="C32" s="22" t="s">
        <v>181</v>
      </c>
      <c r="I32" s="20"/>
      <c r="J32" s="20"/>
      <c r="K32" s="20"/>
      <c r="L32" s="20"/>
      <c r="M32" s="20"/>
    </row>
    <row r="33" spans="1:19" ht="13.35" customHeight="1" x14ac:dyDescent="0.25">
      <c r="C33" s="22" t="s">
        <v>189</v>
      </c>
      <c r="I33" s="20"/>
      <c r="J33" s="20"/>
      <c r="K33" s="20"/>
      <c r="L33" s="20"/>
      <c r="M33" s="20"/>
    </row>
    <row r="34" spans="1:19" ht="13.35" customHeight="1" x14ac:dyDescent="0.25">
      <c r="I34" s="20"/>
      <c r="J34" s="20"/>
      <c r="K34" s="20"/>
      <c r="L34" s="20"/>
      <c r="M34" s="20"/>
    </row>
    <row r="35" spans="1:19" ht="13.35" customHeight="1" x14ac:dyDescent="0.25">
      <c r="B35" s="23" t="s">
        <v>184</v>
      </c>
      <c r="I35" s="20"/>
      <c r="J35" s="20"/>
      <c r="K35" s="20"/>
      <c r="L35" s="20"/>
      <c r="M35" s="20"/>
    </row>
    <row r="36" spans="1:19" ht="13.35" customHeight="1" x14ac:dyDescent="0.25">
      <c r="I36" s="20"/>
      <c r="J36" s="20"/>
      <c r="K36" s="20"/>
      <c r="L36" s="20"/>
      <c r="M36" s="20"/>
    </row>
    <row r="37" spans="1:19" ht="13.35" customHeight="1" x14ac:dyDescent="0.25">
      <c r="C37" s="25" t="s">
        <v>187</v>
      </c>
      <c r="D37" s="25"/>
      <c r="I37" s="20"/>
      <c r="J37" s="20"/>
      <c r="K37" s="20"/>
      <c r="L37" s="20"/>
      <c r="M37" s="20"/>
    </row>
    <row r="38" spans="1:19" ht="13.35" customHeight="1" x14ac:dyDescent="0.25">
      <c r="C38" s="25" t="s">
        <v>185</v>
      </c>
      <c r="D38" s="25"/>
      <c r="I38" s="20"/>
      <c r="J38" s="20"/>
      <c r="K38" s="20"/>
      <c r="L38" s="20"/>
      <c r="M38" s="20"/>
    </row>
    <row r="39" spans="1:19" ht="13.35" customHeight="1" x14ac:dyDescent="0.25">
      <c r="C39" s="25" t="s">
        <v>186</v>
      </c>
      <c r="D39" s="25"/>
      <c r="I39" s="20"/>
      <c r="J39" s="20"/>
      <c r="K39" s="20"/>
      <c r="L39" s="20"/>
      <c r="M39" s="20"/>
    </row>
    <row r="40" spans="1:19" ht="13.35" customHeight="1" x14ac:dyDescent="0.25">
      <c r="C40" s="22" t="s">
        <v>178</v>
      </c>
      <c r="D40" s="25"/>
      <c r="I40" s="20"/>
      <c r="J40" s="20"/>
      <c r="K40" s="20"/>
      <c r="L40" s="20"/>
      <c r="M40" s="20"/>
    </row>
    <row r="41" spans="1:19" ht="13.35" customHeight="1" x14ac:dyDescent="0.25">
      <c r="I41" s="20"/>
      <c r="J41" s="20"/>
      <c r="K41" s="20"/>
      <c r="L41" s="20"/>
      <c r="M41" s="20"/>
    </row>
    <row r="42" spans="1:19" ht="13.35" customHeight="1" x14ac:dyDescent="0.25">
      <c r="B42" s="23" t="s">
        <v>179</v>
      </c>
      <c r="I42" s="20"/>
      <c r="J42" s="20"/>
      <c r="K42" s="20"/>
      <c r="L42" s="20"/>
      <c r="M42" s="20"/>
    </row>
    <row r="43" spans="1:19" ht="13.35" customHeight="1" x14ac:dyDescent="0.25">
      <c r="I43" s="20"/>
      <c r="J43" s="20"/>
      <c r="K43" s="20"/>
      <c r="L43" s="20"/>
      <c r="M43" s="20"/>
    </row>
    <row r="44" spans="1:19" ht="13.35" customHeight="1" x14ac:dyDescent="0.25">
      <c r="C44" s="22" t="s">
        <v>188</v>
      </c>
      <c r="I44" s="20"/>
      <c r="J44" s="20"/>
      <c r="K44" s="20"/>
      <c r="L44" s="20"/>
      <c r="M44" s="20"/>
    </row>
    <row r="45" spans="1:19" ht="13.35" customHeight="1" x14ac:dyDescent="0.25">
      <c r="A45" s="20"/>
      <c r="B45" s="20"/>
      <c r="C45" s="20"/>
      <c r="D45" s="25" t="s">
        <v>191</v>
      </c>
      <c r="E45" s="20"/>
      <c r="F45" s="20"/>
      <c r="G45" s="20"/>
      <c r="H45" s="20"/>
      <c r="I45" s="20"/>
      <c r="J45" s="20"/>
      <c r="K45" s="20"/>
      <c r="L45" s="20"/>
      <c r="M45" s="20"/>
      <c r="N45" s="20"/>
      <c r="O45" s="20"/>
      <c r="P45" s="20"/>
      <c r="Q45" s="20"/>
      <c r="R45" s="20"/>
      <c r="S45" s="20"/>
    </row>
    <row r="46" spans="1:19" ht="13.35" customHeight="1" x14ac:dyDescent="0.25">
      <c r="A46" s="20"/>
      <c r="B46" s="20"/>
      <c r="C46" s="20"/>
      <c r="D46" s="25" t="s">
        <v>192</v>
      </c>
      <c r="E46" s="20"/>
      <c r="F46" s="20"/>
      <c r="G46" s="20"/>
      <c r="H46" s="20"/>
      <c r="I46" s="20"/>
      <c r="J46" s="20"/>
      <c r="K46" s="20"/>
      <c r="L46" s="20"/>
      <c r="M46" s="20"/>
      <c r="N46" s="20"/>
      <c r="O46" s="20"/>
      <c r="P46" s="20"/>
      <c r="Q46" s="20"/>
      <c r="R46" s="20"/>
      <c r="S46" s="20"/>
    </row>
    <row r="47" spans="1:19" ht="13.35" customHeight="1" x14ac:dyDescent="0.25">
      <c r="A47" s="20"/>
      <c r="B47" s="20"/>
      <c r="C47" s="20"/>
      <c r="D47" s="25"/>
      <c r="E47" s="20"/>
      <c r="F47" s="20"/>
      <c r="G47" s="20"/>
      <c r="H47" s="20"/>
      <c r="I47" s="20"/>
      <c r="J47" s="20"/>
      <c r="K47" s="20"/>
      <c r="L47" s="20"/>
      <c r="M47" s="20"/>
      <c r="N47" s="20"/>
      <c r="O47" s="20"/>
      <c r="P47" s="20"/>
      <c r="Q47" s="20"/>
      <c r="R47" s="20"/>
      <c r="S47" s="20"/>
    </row>
    <row r="48" spans="1:19" ht="13.35" customHeight="1" x14ac:dyDescent="0.25">
      <c r="D48" s="25"/>
      <c r="I48" s="20"/>
      <c r="J48" s="20"/>
      <c r="K48" s="20"/>
      <c r="L48" s="20"/>
      <c r="M48" s="2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9"/>
  <sheetViews>
    <sheetView zoomScaleNormal="100" workbookViewId="0">
      <selection activeCell="F48" sqref="F48"/>
    </sheetView>
  </sheetViews>
  <sheetFormatPr defaultColWidth="8.7109375" defaultRowHeight="15" x14ac:dyDescent="0.25"/>
  <cols>
    <col min="1" max="1" width="21.7109375" style="27" customWidth="1"/>
    <col min="2" max="12" width="10.7109375" style="20" customWidth="1"/>
    <col min="13" max="16" width="11.5703125" style="20" customWidth="1"/>
    <col min="17" max="16384" width="8.7109375" style="20"/>
  </cols>
  <sheetData>
    <row r="1" spans="1:17" x14ac:dyDescent="0.25">
      <c r="A1" s="21" t="s">
        <v>165</v>
      </c>
    </row>
    <row r="2" spans="1:17" x14ac:dyDescent="0.25">
      <c r="A2" s="19" t="s">
        <v>166</v>
      </c>
    </row>
    <row r="3" spans="1:17" x14ac:dyDescent="0.25">
      <c r="A3" s="23" t="s">
        <v>167</v>
      </c>
    </row>
    <row r="4" spans="1:17" x14ac:dyDescent="0.25">
      <c r="A4" s="24" t="s">
        <v>180</v>
      </c>
    </row>
    <row r="6" spans="1:17" x14ac:dyDescent="0.25">
      <c r="A6" s="9" t="s">
        <v>20</v>
      </c>
    </row>
    <row r="7" spans="1:17" x14ac:dyDescent="0.25">
      <c r="A7" s="26"/>
    </row>
    <row r="8" spans="1:17" x14ac:dyDescent="0.25">
      <c r="A8" s="9" t="s">
        <v>80</v>
      </c>
    </row>
    <row r="10" spans="1:17" x14ac:dyDescent="0.25">
      <c r="A10" s="27" t="s">
        <v>21</v>
      </c>
      <c r="B10" s="11">
        <v>1000</v>
      </c>
    </row>
    <row r="11" spans="1:17" x14ac:dyDescent="0.25">
      <c r="A11" s="27" t="s">
        <v>63</v>
      </c>
      <c r="B11" s="11">
        <v>100</v>
      </c>
      <c r="F11" s="28"/>
    </row>
    <row r="12" spans="1:17" x14ac:dyDescent="0.25">
      <c r="B12" s="29"/>
      <c r="C12" s="20" t="s">
        <v>156</v>
      </c>
      <c r="F12" s="28"/>
    </row>
    <row r="13" spans="1:17" x14ac:dyDescent="0.25">
      <c r="A13" s="30"/>
      <c r="B13" s="30"/>
      <c r="C13" s="30" t="s">
        <v>23</v>
      </c>
      <c r="D13" s="30"/>
      <c r="E13" s="30" t="s">
        <v>93</v>
      </c>
      <c r="F13" s="30"/>
      <c r="G13" s="27"/>
      <c r="H13" s="30"/>
      <c r="I13" s="30"/>
      <c r="J13" s="30"/>
      <c r="K13" s="30"/>
      <c r="L13" s="31"/>
      <c r="M13" s="31"/>
      <c r="N13" s="31"/>
      <c r="O13" s="31" t="s">
        <v>95</v>
      </c>
      <c r="P13" s="32"/>
      <c r="Q13" s="32"/>
    </row>
    <row r="14" spans="1:17" x14ac:dyDescent="0.25">
      <c r="A14" s="33"/>
      <c r="B14" s="33"/>
      <c r="C14" s="33" t="s">
        <v>22</v>
      </c>
      <c r="D14" s="33" t="s">
        <v>60</v>
      </c>
      <c r="E14" s="33" t="s">
        <v>94</v>
      </c>
      <c r="F14" s="33"/>
      <c r="G14" s="27" t="s">
        <v>25</v>
      </c>
      <c r="H14" s="33" t="s">
        <v>26</v>
      </c>
      <c r="I14" s="33" t="s">
        <v>26</v>
      </c>
      <c r="J14" s="33" t="s">
        <v>26</v>
      </c>
      <c r="K14" s="33" t="s">
        <v>125</v>
      </c>
      <c r="L14" s="34"/>
      <c r="M14" s="34" t="s">
        <v>92</v>
      </c>
      <c r="N14" s="34" t="s">
        <v>92</v>
      </c>
      <c r="O14" s="34" t="s">
        <v>94</v>
      </c>
      <c r="P14" s="35"/>
      <c r="Q14" s="34" t="s">
        <v>108</v>
      </c>
    </row>
    <row r="15" spans="1:17" x14ac:dyDescent="0.25">
      <c r="A15" s="33" t="s">
        <v>0</v>
      </c>
      <c r="B15" s="33" t="s">
        <v>4</v>
      </c>
      <c r="C15" s="33" t="s">
        <v>57</v>
      </c>
      <c r="D15" s="33" t="s">
        <v>59</v>
      </c>
      <c r="E15" s="33" t="s">
        <v>62</v>
      </c>
      <c r="F15" s="33" t="s">
        <v>6</v>
      </c>
      <c r="G15" s="27" t="s">
        <v>6</v>
      </c>
      <c r="H15" s="33" t="s">
        <v>27</v>
      </c>
      <c r="I15" s="33" t="s">
        <v>28</v>
      </c>
      <c r="J15" s="33" t="s">
        <v>9</v>
      </c>
      <c r="K15" s="33" t="s">
        <v>124</v>
      </c>
      <c r="L15" s="34" t="s">
        <v>54</v>
      </c>
      <c r="M15" s="34" t="s">
        <v>2</v>
      </c>
      <c r="N15" s="34" t="s">
        <v>11</v>
      </c>
      <c r="O15" s="34" t="s">
        <v>2</v>
      </c>
      <c r="P15" s="34" t="s">
        <v>58</v>
      </c>
      <c r="Q15" s="34" t="s">
        <v>17</v>
      </c>
    </row>
    <row r="16" spans="1:17" x14ac:dyDescent="0.25">
      <c r="A16" s="36" t="s">
        <v>1</v>
      </c>
      <c r="B16" s="36" t="s">
        <v>56</v>
      </c>
      <c r="C16" s="36" t="s">
        <v>24</v>
      </c>
      <c r="D16" s="36" t="s">
        <v>3</v>
      </c>
      <c r="E16" s="36" t="s">
        <v>3</v>
      </c>
      <c r="F16" s="36" t="s">
        <v>3</v>
      </c>
      <c r="G16" s="36" t="s">
        <v>3</v>
      </c>
      <c r="H16" s="36" t="s">
        <v>5</v>
      </c>
      <c r="I16" s="36" t="s">
        <v>5</v>
      </c>
      <c r="J16" s="36" t="s">
        <v>5</v>
      </c>
      <c r="K16" s="36" t="s">
        <v>5</v>
      </c>
      <c r="L16" s="37" t="s">
        <v>55</v>
      </c>
      <c r="M16" s="37" t="s">
        <v>3</v>
      </c>
      <c r="N16" s="37" t="s">
        <v>3</v>
      </c>
      <c r="O16" s="37" t="s">
        <v>3</v>
      </c>
      <c r="P16" s="37" t="s">
        <v>56</v>
      </c>
      <c r="Q16" s="37" t="s">
        <v>56</v>
      </c>
    </row>
    <row r="17" spans="1:17" x14ac:dyDescent="0.25">
      <c r="A17" s="38"/>
      <c r="B17" s="39"/>
      <c r="C17" s="39"/>
      <c r="D17" s="39"/>
      <c r="E17" s="39"/>
      <c r="F17" s="39"/>
      <c r="G17" s="39"/>
      <c r="H17" s="39"/>
      <c r="I17" s="39"/>
      <c r="J17" s="39"/>
      <c r="K17" s="39"/>
      <c r="L17" s="39"/>
      <c r="M17" s="39"/>
      <c r="N17" s="39"/>
      <c r="O17" s="39"/>
      <c r="P17" s="40"/>
      <c r="Q17" s="39"/>
    </row>
    <row r="18" spans="1:17" x14ac:dyDescent="0.25">
      <c r="A18" s="38">
        <v>1</v>
      </c>
      <c r="B18" s="12">
        <v>106</v>
      </c>
      <c r="C18" s="13">
        <v>4.2500000000000003E-2</v>
      </c>
      <c r="D18" s="13">
        <f>E18</f>
        <v>1.4999999999999999E-2</v>
      </c>
      <c r="E18" s="13">
        <v>1.4999999999999999E-2</v>
      </c>
      <c r="F18" s="14">
        <v>0.75</v>
      </c>
      <c r="G18" s="14">
        <f>F18-F27</f>
        <v>0.7</v>
      </c>
      <c r="H18" s="15">
        <v>200</v>
      </c>
      <c r="I18" s="15">
        <v>100</v>
      </c>
      <c r="J18" s="12">
        <v>35</v>
      </c>
      <c r="K18" s="12">
        <v>1000</v>
      </c>
      <c r="L18" s="13">
        <v>2.2499999999999999E-2</v>
      </c>
      <c r="M18" s="16">
        <v>6.3000000000000003E-4</v>
      </c>
      <c r="N18" s="14">
        <v>0.05</v>
      </c>
      <c r="O18" s="16">
        <f>M18*2</f>
        <v>1.2600000000000001E-3</v>
      </c>
      <c r="P18" s="17">
        <f>'CSV and dividend determination'!N13</f>
        <v>0</v>
      </c>
      <c r="Q18" s="17">
        <f>'CSV and dividend determination'!K37</f>
        <v>0</v>
      </c>
    </row>
    <row r="19" spans="1:17" x14ac:dyDescent="0.25">
      <c r="A19" s="38">
        <v>2</v>
      </c>
      <c r="B19" s="12">
        <f>B18</f>
        <v>106</v>
      </c>
      <c r="C19" s="13">
        <v>4.2500000000000003E-2</v>
      </c>
      <c r="D19" s="13">
        <f t="shared" ref="D19:D27" si="0">E19</f>
        <v>1.4999999999999999E-2</v>
      </c>
      <c r="E19" s="13">
        <v>1.4999999999999999E-2</v>
      </c>
      <c r="F19" s="14">
        <v>0.05</v>
      </c>
      <c r="G19" s="14">
        <v>0</v>
      </c>
      <c r="H19" s="15">
        <v>0.04</v>
      </c>
      <c r="I19" s="15">
        <v>0.02</v>
      </c>
      <c r="J19" s="12">
        <f>J18*1.02</f>
        <v>35.700000000000003</v>
      </c>
      <c r="K19" s="12">
        <v>1000</v>
      </c>
      <c r="L19" s="13">
        <v>2.2499999999999999E-2</v>
      </c>
      <c r="M19" s="16">
        <v>7.6999999999999996E-4</v>
      </c>
      <c r="N19" s="14">
        <v>0.05</v>
      </c>
      <c r="O19" s="16">
        <f t="shared" ref="O19:O27" si="1">M19*2</f>
        <v>1.5399999999999999E-3</v>
      </c>
      <c r="P19" s="17">
        <f>'CSV and dividend determination'!N14</f>
        <v>104.32428623743634</v>
      </c>
      <c r="Q19" s="17">
        <f>'CSV and dividend determination'!K38</f>
        <v>3.5932068965517248</v>
      </c>
    </row>
    <row r="20" spans="1:17" x14ac:dyDescent="0.25">
      <c r="A20" s="38">
        <v>3</v>
      </c>
      <c r="B20" s="12">
        <f t="shared" ref="B20:B27" si="2">B19</f>
        <v>106</v>
      </c>
      <c r="C20" s="13">
        <v>4.2500000000000003E-2</v>
      </c>
      <c r="D20" s="13">
        <f t="shared" si="0"/>
        <v>1.4999999999999999E-2</v>
      </c>
      <c r="E20" s="13">
        <v>1.4999999999999999E-2</v>
      </c>
      <c r="F20" s="14">
        <v>0.05</v>
      </c>
      <c r="G20" s="14">
        <v>0</v>
      </c>
      <c r="H20" s="15">
        <v>0.04</v>
      </c>
      <c r="I20" s="15">
        <v>0.02</v>
      </c>
      <c r="J20" s="12">
        <f t="shared" ref="J20:J27" si="3">J19*1.02</f>
        <v>36.414000000000001</v>
      </c>
      <c r="K20" s="12">
        <v>1000</v>
      </c>
      <c r="L20" s="13">
        <v>2.2499999999999999E-2</v>
      </c>
      <c r="M20" s="16">
        <v>9.8999999999999999E-4</v>
      </c>
      <c r="N20" s="14">
        <v>0.05</v>
      </c>
      <c r="O20" s="16">
        <f t="shared" si="1"/>
        <v>1.98E-3</v>
      </c>
      <c r="P20" s="17">
        <f>'CSV and dividend determination'!N15</f>
        <v>210.02863406307344</v>
      </c>
      <c r="Q20" s="17">
        <f>'CSV and dividend determination'!K39</f>
        <v>6.5541434445589966</v>
      </c>
    </row>
    <row r="21" spans="1:17" x14ac:dyDescent="0.25">
      <c r="A21" s="38">
        <v>4</v>
      </c>
      <c r="B21" s="12">
        <f>B20</f>
        <v>106</v>
      </c>
      <c r="C21" s="13">
        <v>4.2500000000000003E-2</v>
      </c>
      <c r="D21" s="13">
        <f>E21</f>
        <v>1.4999999999999999E-2</v>
      </c>
      <c r="E21" s="13">
        <v>1.4999999999999999E-2</v>
      </c>
      <c r="F21" s="14">
        <v>0.05</v>
      </c>
      <c r="G21" s="14">
        <v>0</v>
      </c>
      <c r="H21" s="15">
        <v>0.04</v>
      </c>
      <c r="I21" s="15">
        <v>0.02</v>
      </c>
      <c r="J21" s="12">
        <f>J20*1.02</f>
        <v>37.14228</v>
      </c>
      <c r="K21" s="12">
        <v>1000</v>
      </c>
      <c r="L21" s="13">
        <v>2.2499999999999999E-2</v>
      </c>
      <c r="M21" s="16">
        <v>1.14E-3</v>
      </c>
      <c r="N21" s="14">
        <v>0.05</v>
      </c>
      <c r="O21" s="16">
        <f>M21*2</f>
        <v>2.2799999999999999E-3</v>
      </c>
      <c r="P21" s="17">
        <f>'CSV and dividend determination'!N16</f>
        <v>317.32619413327404</v>
      </c>
      <c r="Q21" s="17">
        <f>'CSV and dividend determination'!K40</f>
        <v>9.45899172951097</v>
      </c>
    </row>
    <row r="22" spans="1:17" x14ac:dyDescent="0.25">
      <c r="A22" s="38">
        <v>5</v>
      </c>
      <c r="B22" s="12">
        <f>B21</f>
        <v>106</v>
      </c>
      <c r="C22" s="13">
        <v>4.2500000000000003E-2</v>
      </c>
      <c r="D22" s="13">
        <f t="shared" si="0"/>
        <v>1.4999999999999999E-2</v>
      </c>
      <c r="E22" s="13">
        <v>1.4999999999999999E-2</v>
      </c>
      <c r="F22" s="14">
        <v>0.05</v>
      </c>
      <c r="G22" s="14">
        <v>0</v>
      </c>
      <c r="H22" s="15">
        <v>0.04</v>
      </c>
      <c r="I22" s="15">
        <v>0.02</v>
      </c>
      <c r="J22" s="12">
        <f>J21*1.02</f>
        <v>37.885125600000002</v>
      </c>
      <c r="K22" s="12">
        <v>1000</v>
      </c>
      <c r="L22" s="13">
        <v>2.2499999999999999E-2</v>
      </c>
      <c r="M22" s="16">
        <v>1.2800000000000001E-3</v>
      </c>
      <c r="N22" s="14">
        <v>0.05</v>
      </c>
      <c r="O22" s="16">
        <f t="shared" si="1"/>
        <v>2.5600000000000002E-3</v>
      </c>
      <c r="P22" s="17">
        <f>'CSV and dividend determination'!N17</f>
        <v>426.32109588737546</v>
      </c>
      <c r="Q22" s="17">
        <f>'CSV and dividend determination'!K41</f>
        <v>12.368704300743273</v>
      </c>
    </row>
    <row r="23" spans="1:17" x14ac:dyDescent="0.25">
      <c r="A23" s="38">
        <v>6</v>
      </c>
      <c r="B23" s="12">
        <f>B22</f>
        <v>106</v>
      </c>
      <c r="C23" s="13">
        <v>4.2500000000000003E-2</v>
      </c>
      <c r="D23" s="13">
        <f t="shared" si="0"/>
        <v>1.4999999999999999E-2</v>
      </c>
      <c r="E23" s="13">
        <v>1.4999999999999999E-2</v>
      </c>
      <c r="F23" s="14">
        <v>0.05</v>
      </c>
      <c r="G23" s="14">
        <v>0</v>
      </c>
      <c r="H23" s="15">
        <v>0.04</v>
      </c>
      <c r="I23" s="15">
        <v>0.02</v>
      </c>
      <c r="J23" s="12">
        <f>J22*1.02</f>
        <v>38.642828112000004</v>
      </c>
      <c r="K23" s="12">
        <v>1000</v>
      </c>
      <c r="L23" s="13">
        <v>2.2499999999999999E-2</v>
      </c>
      <c r="M23" s="16">
        <v>1.4E-3</v>
      </c>
      <c r="N23" s="14">
        <v>0.05</v>
      </c>
      <c r="O23" s="16">
        <f t="shared" si="1"/>
        <v>2.8E-3</v>
      </c>
      <c r="P23" s="17">
        <f>'CSV and dividend determination'!N18</f>
        <v>537.12348492009301</v>
      </c>
      <c r="Q23" s="17">
        <f>'CSV and dividend determination'!K42</f>
        <v>15.283904487402999</v>
      </c>
    </row>
    <row r="24" spans="1:17" x14ac:dyDescent="0.25">
      <c r="A24" s="38">
        <v>7</v>
      </c>
      <c r="B24" s="12">
        <f t="shared" si="2"/>
        <v>106</v>
      </c>
      <c r="C24" s="13">
        <v>4.2500000000000003E-2</v>
      </c>
      <c r="D24" s="13">
        <f t="shared" si="0"/>
        <v>1.4999999999999999E-2</v>
      </c>
      <c r="E24" s="13">
        <v>1.4999999999999999E-2</v>
      </c>
      <c r="F24" s="14">
        <v>0.05</v>
      </c>
      <c r="G24" s="14">
        <v>0</v>
      </c>
      <c r="H24" s="15">
        <v>0.04</v>
      </c>
      <c r="I24" s="15">
        <v>0.02</v>
      </c>
      <c r="J24" s="12">
        <f t="shared" si="3"/>
        <v>39.415684674240005</v>
      </c>
      <c r="K24" s="12">
        <v>1000</v>
      </c>
      <c r="L24" s="13">
        <v>2.2499999999999999E-2</v>
      </c>
      <c r="M24" s="16">
        <v>1.58E-3</v>
      </c>
      <c r="N24" s="14">
        <v>0.05</v>
      </c>
      <c r="O24" s="16">
        <f t="shared" si="1"/>
        <v>3.16E-3</v>
      </c>
      <c r="P24" s="17">
        <f>'CSV and dividend determination'!N19</f>
        <v>649.77726017267082</v>
      </c>
      <c r="Q24" s="17">
        <f>'CSV and dividend determination'!K43</f>
        <v>18.241427750402316</v>
      </c>
    </row>
    <row r="25" spans="1:17" x14ac:dyDescent="0.25">
      <c r="A25" s="38">
        <v>8</v>
      </c>
      <c r="B25" s="12">
        <f t="shared" si="2"/>
        <v>106</v>
      </c>
      <c r="C25" s="13">
        <v>4.2500000000000003E-2</v>
      </c>
      <c r="D25" s="13">
        <f t="shared" si="0"/>
        <v>1.4999999999999999E-2</v>
      </c>
      <c r="E25" s="13">
        <v>1.4999999999999999E-2</v>
      </c>
      <c r="F25" s="14">
        <v>0.05</v>
      </c>
      <c r="G25" s="14">
        <v>0</v>
      </c>
      <c r="H25" s="15">
        <v>0.04</v>
      </c>
      <c r="I25" s="15">
        <v>0.02</v>
      </c>
      <c r="J25" s="12">
        <f t="shared" si="3"/>
        <v>40.203998367724807</v>
      </c>
      <c r="K25" s="12">
        <v>1000</v>
      </c>
      <c r="L25" s="13">
        <v>2.2499999999999999E-2</v>
      </c>
      <c r="M25" s="16">
        <v>1.7799999999999999E-3</v>
      </c>
      <c r="N25" s="14">
        <v>0.05</v>
      </c>
      <c r="O25" s="16">
        <f t="shared" si="1"/>
        <v>3.5599999999999998E-3</v>
      </c>
      <c r="P25" s="17">
        <f>'CSV and dividend determination'!N20</f>
        <v>764.38876993285248</v>
      </c>
      <c r="Q25" s="17">
        <f>'CSV and dividend determination'!K44</f>
        <v>21.212166750209185</v>
      </c>
    </row>
    <row r="26" spans="1:17" x14ac:dyDescent="0.25">
      <c r="A26" s="38">
        <v>9</v>
      </c>
      <c r="B26" s="12">
        <f t="shared" si="2"/>
        <v>106</v>
      </c>
      <c r="C26" s="13">
        <v>4.2500000000000003E-2</v>
      </c>
      <c r="D26" s="13">
        <f t="shared" si="0"/>
        <v>1.4999999999999999E-2</v>
      </c>
      <c r="E26" s="13">
        <v>1.4999999999999999E-2</v>
      </c>
      <c r="F26" s="14">
        <v>0.05</v>
      </c>
      <c r="G26" s="14">
        <v>0</v>
      </c>
      <c r="H26" s="15">
        <v>0.04</v>
      </c>
      <c r="I26" s="15">
        <v>0.02</v>
      </c>
      <c r="J26" s="12">
        <f t="shared" si="3"/>
        <v>41.008078335079304</v>
      </c>
      <c r="K26" s="12">
        <v>1000</v>
      </c>
      <c r="L26" s="13">
        <v>2.2499999999999999E-2</v>
      </c>
      <c r="M26" s="16">
        <v>2.0100000000000001E-3</v>
      </c>
      <c r="N26" s="14">
        <v>0.05</v>
      </c>
      <c r="O26" s="16">
        <f t="shared" si="1"/>
        <v>4.0200000000000001E-3</v>
      </c>
      <c r="P26" s="17">
        <f>'CSV and dividend determination'!N21</f>
        <v>881.08017060430518</v>
      </c>
      <c r="Q26" s="17">
        <f>'CSV and dividend determination'!K45</f>
        <v>24.192359717424349</v>
      </c>
    </row>
    <row r="27" spans="1:17" x14ac:dyDescent="0.25">
      <c r="A27" s="38">
        <v>10</v>
      </c>
      <c r="B27" s="12">
        <f t="shared" si="2"/>
        <v>106</v>
      </c>
      <c r="C27" s="13">
        <v>4.2500000000000003E-2</v>
      </c>
      <c r="D27" s="13">
        <f t="shared" si="0"/>
        <v>1.4999999999999999E-2</v>
      </c>
      <c r="E27" s="13">
        <v>1.4999999999999999E-2</v>
      </c>
      <c r="F27" s="14">
        <v>0.05</v>
      </c>
      <c r="G27" s="14">
        <v>0</v>
      </c>
      <c r="H27" s="15">
        <v>0.04</v>
      </c>
      <c r="I27" s="15">
        <v>0.02</v>
      </c>
      <c r="J27" s="12">
        <f t="shared" si="3"/>
        <v>41.82823990178089</v>
      </c>
      <c r="K27" s="12">
        <v>1000</v>
      </c>
      <c r="L27" s="13">
        <v>2.2499999999999999E-2</v>
      </c>
      <c r="M27" s="16">
        <v>2.2399999999999998E-3</v>
      </c>
      <c r="N27" s="14">
        <v>1</v>
      </c>
      <c r="O27" s="16">
        <f t="shared" si="1"/>
        <v>4.4799999999999996E-3</v>
      </c>
      <c r="P27" s="17">
        <f>'CSV and dividend determination'!N22</f>
        <v>1004.9261083743847</v>
      </c>
      <c r="Q27" s="17">
        <f>'CSV and dividend determination'!K46</f>
        <v>27.173217418560622</v>
      </c>
    </row>
    <row r="28" spans="1:17" x14ac:dyDescent="0.25">
      <c r="B28" s="28"/>
      <c r="C28" s="41"/>
      <c r="D28" s="41"/>
      <c r="E28" s="41"/>
      <c r="F28" s="41"/>
      <c r="G28" s="29"/>
      <c r="H28" s="29"/>
      <c r="I28" s="29"/>
      <c r="J28" s="29"/>
      <c r="K28" s="29"/>
      <c r="L28" s="42"/>
      <c r="M28" s="43"/>
    </row>
    <row r="29" spans="1:17" x14ac:dyDescent="0.25">
      <c r="A29" s="10" t="s">
        <v>81</v>
      </c>
    </row>
    <row r="31" spans="1:17" x14ac:dyDescent="0.25">
      <c r="A31" s="27" t="s">
        <v>21</v>
      </c>
      <c r="B31" s="29">
        <f>B10</f>
        <v>1000</v>
      </c>
    </row>
    <row r="32" spans="1:17" x14ac:dyDescent="0.25">
      <c r="A32" s="27" t="s">
        <v>63</v>
      </c>
      <c r="B32" s="29">
        <f>B11</f>
        <v>100</v>
      </c>
      <c r="F32" s="28"/>
    </row>
    <row r="33" spans="1:18" x14ac:dyDescent="0.25">
      <c r="B33" s="29"/>
      <c r="F33" s="28"/>
    </row>
    <row r="34" spans="1:18" x14ac:dyDescent="0.25">
      <c r="B34" s="44"/>
      <c r="C34" s="44" t="s">
        <v>23</v>
      </c>
      <c r="D34" s="44"/>
      <c r="E34" s="44"/>
      <c r="F34" s="44"/>
      <c r="G34" s="44"/>
      <c r="H34" s="44"/>
      <c r="I34" s="44"/>
      <c r="J34" s="44"/>
      <c r="K34" s="44"/>
      <c r="L34" s="44"/>
      <c r="M34" s="44"/>
      <c r="N34" s="44"/>
      <c r="O34" s="44"/>
    </row>
    <row r="35" spans="1:18" x14ac:dyDescent="0.25">
      <c r="B35" s="44"/>
      <c r="C35" s="44" t="s">
        <v>22</v>
      </c>
      <c r="D35" s="44" t="s">
        <v>60</v>
      </c>
      <c r="E35" s="44"/>
      <c r="F35" s="44"/>
      <c r="G35" s="44" t="s">
        <v>25</v>
      </c>
      <c r="H35" s="44" t="s">
        <v>26</v>
      </c>
      <c r="I35" s="44" t="s">
        <v>26</v>
      </c>
      <c r="J35" s="44" t="s">
        <v>26</v>
      </c>
      <c r="K35" s="44" t="s">
        <v>125</v>
      </c>
      <c r="L35" s="44"/>
      <c r="M35" s="44"/>
      <c r="N35" s="44"/>
      <c r="O35" s="44"/>
    </row>
    <row r="36" spans="1:18" x14ac:dyDescent="0.25">
      <c r="A36" s="27" t="s">
        <v>0</v>
      </c>
      <c r="B36" s="44" t="s">
        <v>4</v>
      </c>
      <c r="C36" s="44" t="s">
        <v>57</v>
      </c>
      <c r="D36" s="44" t="s">
        <v>59</v>
      </c>
      <c r="E36" s="44"/>
      <c r="F36" s="44" t="s">
        <v>6</v>
      </c>
      <c r="G36" s="44" t="s">
        <v>6</v>
      </c>
      <c r="H36" s="44" t="s">
        <v>27</v>
      </c>
      <c r="I36" s="44" t="s">
        <v>28</v>
      </c>
      <c r="J36" s="44" t="s">
        <v>9</v>
      </c>
      <c r="K36" s="44" t="s">
        <v>124</v>
      </c>
      <c r="L36" s="44" t="s">
        <v>54</v>
      </c>
      <c r="M36" s="44" t="s">
        <v>2</v>
      </c>
      <c r="N36" s="44" t="s">
        <v>11</v>
      </c>
      <c r="O36" s="44"/>
      <c r="P36" s="44" t="s">
        <v>58</v>
      </c>
    </row>
    <row r="37" spans="1:18" x14ac:dyDescent="0.25">
      <c r="A37" s="7" t="s">
        <v>1</v>
      </c>
      <c r="B37" s="2" t="s">
        <v>56</v>
      </c>
      <c r="C37" s="2" t="s">
        <v>24</v>
      </c>
      <c r="D37" s="2" t="s">
        <v>3</v>
      </c>
      <c r="E37" s="2"/>
      <c r="F37" s="2" t="s">
        <v>3</v>
      </c>
      <c r="G37" s="2" t="s">
        <v>3</v>
      </c>
      <c r="H37" s="2" t="s">
        <v>5</v>
      </c>
      <c r="I37" s="2" t="s">
        <v>5</v>
      </c>
      <c r="J37" s="2" t="s">
        <v>5</v>
      </c>
      <c r="K37" s="2" t="s">
        <v>5</v>
      </c>
      <c r="L37" s="2" t="s">
        <v>55</v>
      </c>
      <c r="M37" s="2" t="s">
        <v>3</v>
      </c>
      <c r="N37" s="2" t="s">
        <v>3</v>
      </c>
      <c r="O37" s="2"/>
      <c r="P37" s="2" t="s">
        <v>56</v>
      </c>
      <c r="R37" s="2"/>
    </row>
    <row r="38" spans="1:18" x14ac:dyDescent="0.25">
      <c r="P38" s="45"/>
    </row>
    <row r="39" spans="1:18" x14ac:dyDescent="0.25">
      <c r="A39" s="27">
        <v>1</v>
      </c>
      <c r="B39" s="45">
        <f t="shared" ref="B39:D43" si="4">B18</f>
        <v>106</v>
      </c>
      <c r="C39" s="28">
        <f t="shared" si="4"/>
        <v>4.2500000000000003E-2</v>
      </c>
      <c r="D39" s="28">
        <f t="shared" si="4"/>
        <v>1.4999999999999999E-2</v>
      </c>
      <c r="E39" s="28"/>
      <c r="F39" s="41">
        <f t="shared" ref="F39:N43" si="5">F18</f>
        <v>0.75</v>
      </c>
      <c r="G39" s="41">
        <f t="shared" si="5"/>
        <v>0.7</v>
      </c>
      <c r="H39" s="29">
        <f t="shared" si="5"/>
        <v>200</v>
      </c>
      <c r="I39" s="29">
        <f t="shared" si="5"/>
        <v>100</v>
      </c>
      <c r="J39" s="45">
        <f t="shared" si="5"/>
        <v>35</v>
      </c>
      <c r="K39" s="45">
        <v>1000</v>
      </c>
      <c r="L39" s="28">
        <f t="shared" si="5"/>
        <v>2.2499999999999999E-2</v>
      </c>
      <c r="M39" s="46">
        <f t="shared" si="5"/>
        <v>6.3000000000000003E-4</v>
      </c>
      <c r="N39" s="41">
        <f t="shared" si="5"/>
        <v>0.05</v>
      </c>
      <c r="O39" s="41"/>
      <c r="P39" s="45">
        <f>P18</f>
        <v>0</v>
      </c>
    </row>
    <row r="40" spans="1:18" x14ac:dyDescent="0.25">
      <c r="A40" s="27">
        <v>2</v>
      </c>
      <c r="B40" s="45">
        <f t="shared" si="4"/>
        <v>106</v>
      </c>
      <c r="C40" s="28">
        <f t="shared" si="4"/>
        <v>4.2500000000000003E-2</v>
      </c>
      <c r="D40" s="28">
        <f t="shared" si="4"/>
        <v>1.4999999999999999E-2</v>
      </c>
      <c r="E40" s="28"/>
      <c r="F40" s="41">
        <f t="shared" si="5"/>
        <v>0.05</v>
      </c>
      <c r="G40" s="41">
        <f t="shared" si="5"/>
        <v>0</v>
      </c>
      <c r="H40" s="29">
        <f t="shared" si="5"/>
        <v>0.04</v>
      </c>
      <c r="I40" s="29">
        <f t="shared" si="5"/>
        <v>0.02</v>
      </c>
      <c r="J40" s="45">
        <f t="shared" si="5"/>
        <v>35.700000000000003</v>
      </c>
      <c r="K40" s="45">
        <v>1000</v>
      </c>
      <c r="L40" s="28">
        <f t="shared" si="5"/>
        <v>2.2499999999999999E-2</v>
      </c>
      <c r="M40" s="46">
        <f t="shared" si="5"/>
        <v>7.6999999999999996E-4</v>
      </c>
      <c r="N40" s="41">
        <f t="shared" si="5"/>
        <v>0.05</v>
      </c>
      <c r="O40" s="41"/>
      <c r="P40" s="45">
        <f>P19</f>
        <v>104.32428623743634</v>
      </c>
    </row>
    <row r="41" spans="1:18" x14ac:dyDescent="0.25">
      <c r="A41" s="27">
        <v>3</v>
      </c>
      <c r="B41" s="45">
        <f t="shared" si="4"/>
        <v>106</v>
      </c>
      <c r="C41" s="28">
        <f t="shared" si="4"/>
        <v>4.2500000000000003E-2</v>
      </c>
      <c r="D41" s="28">
        <f t="shared" si="4"/>
        <v>1.4999999999999999E-2</v>
      </c>
      <c r="E41" s="28"/>
      <c r="F41" s="41">
        <f t="shared" si="5"/>
        <v>0.05</v>
      </c>
      <c r="G41" s="41">
        <f t="shared" si="5"/>
        <v>0</v>
      </c>
      <c r="H41" s="29">
        <f t="shared" si="5"/>
        <v>0.04</v>
      </c>
      <c r="I41" s="29">
        <f t="shared" si="5"/>
        <v>0.02</v>
      </c>
      <c r="J41" s="45">
        <f t="shared" si="5"/>
        <v>36.414000000000001</v>
      </c>
      <c r="K41" s="45">
        <v>1000</v>
      </c>
      <c r="L41" s="28">
        <f t="shared" si="5"/>
        <v>2.2499999999999999E-2</v>
      </c>
      <c r="M41" s="46">
        <f t="shared" si="5"/>
        <v>9.8999999999999999E-4</v>
      </c>
      <c r="N41" s="41">
        <f t="shared" si="5"/>
        <v>0.05</v>
      </c>
      <c r="O41" s="41"/>
      <c r="P41" s="45">
        <f>P20</f>
        <v>210.02863406307344</v>
      </c>
    </row>
    <row r="42" spans="1:18" x14ac:dyDescent="0.25">
      <c r="A42" s="27">
        <v>4</v>
      </c>
      <c r="B42" s="45">
        <f t="shared" si="4"/>
        <v>106</v>
      </c>
      <c r="C42" s="28">
        <f t="shared" si="4"/>
        <v>4.2500000000000003E-2</v>
      </c>
      <c r="D42" s="28">
        <f t="shared" si="4"/>
        <v>1.4999999999999999E-2</v>
      </c>
      <c r="E42" s="28"/>
      <c r="F42" s="41">
        <f t="shared" si="5"/>
        <v>0.05</v>
      </c>
      <c r="G42" s="41">
        <f t="shared" si="5"/>
        <v>0</v>
      </c>
      <c r="H42" s="29">
        <f t="shared" si="5"/>
        <v>0.04</v>
      </c>
      <c r="I42" s="29">
        <f t="shared" si="5"/>
        <v>0.02</v>
      </c>
      <c r="J42" s="45">
        <f t="shared" si="5"/>
        <v>37.14228</v>
      </c>
      <c r="K42" s="45">
        <v>1000</v>
      </c>
      <c r="L42" s="28">
        <f t="shared" si="5"/>
        <v>2.2499999999999999E-2</v>
      </c>
      <c r="M42" s="46">
        <f t="shared" si="5"/>
        <v>1.14E-3</v>
      </c>
      <c r="N42" s="41">
        <f t="shared" si="5"/>
        <v>0.05</v>
      </c>
      <c r="O42" s="41"/>
      <c r="P42" s="45">
        <f>P21</f>
        <v>317.32619413327404</v>
      </c>
    </row>
    <row r="43" spans="1:18" x14ac:dyDescent="0.25">
      <c r="A43" s="27">
        <v>5</v>
      </c>
      <c r="B43" s="45">
        <f t="shared" si="4"/>
        <v>106</v>
      </c>
      <c r="C43" s="28">
        <f t="shared" si="4"/>
        <v>4.2500000000000003E-2</v>
      </c>
      <c r="D43" s="28">
        <f t="shared" si="4"/>
        <v>1.4999999999999999E-2</v>
      </c>
      <c r="E43" s="28"/>
      <c r="F43" s="41">
        <f t="shared" si="5"/>
        <v>0.05</v>
      </c>
      <c r="G43" s="41">
        <f t="shared" si="5"/>
        <v>0</v>
      </c>
      <c r="H43" s="29">
        <f t="shared" si="5"/>
        <v>0.04</v>
      </c>
      <c r="I43" s="29">
        <f t="shared" si="5"/>
        <v>0.02</v>
      </c>
      <c r="J43" s="45">
        <f t="shared" si="5"/>
        <v>37.885125600000002</v>
      </c>
      <c r="K43" s="45">
        <v>1000</v>
      </c>
      <c r="L43" s="28">
        <f t="shared" si="5"/>
        <v>2.2499999999999999E-2</v>
      </c>
      <c r="M43" s="18">
        <f>M22*1.25</f>
        <v>1.6000000000000001E-3</v>
      </c>
      <c r="N43" s="41">
        <f t="shared" si="5"/>
        <v>0.05</v>
      </c>
      <c r="O43" s="41"/>
      <c r="P43" s="45">
        <f>P22</f>
        <v>426.32109588737546</v>
      </c>
    </row>
    <row r="44" spans="1:18" x14ac:dyDescent="0.25">
      <c r="A44" s="27">
        <v>6</v>
      </c>
      <c r="B44" s="45">
        <f t="shared" ref="B44:C48" si="6">B23</f>
        <v>106</v>
      </c>
      <c r="C44" s="28">
        <f t="shared" si="6"/>
        <v>4.2500000000000003E-2</v>
      </c>
      <c r="D44" s="28">
        <f t="shared" ref="D44:M44" si="7">D23</f>
        <v>1.4999999999999999E-2</v>
      </c>
      <c r="E44" s="28"/>
      <c r="F44" s="41">
        <f t="shared" si="7"/>
        <v>0.05</v>
      </c>
      <c r="G44" s="41">
        <f t="shared" si="7"/>
        <v>0</v>
      </c>
      <c r="H44" s="29">
        <f t="shared" si="7"/>
        <v>0.04</v>
      </c>
      <c r="I44" s="29">
        <f t="shared" si="7"/>
        <v>0.02</v>
      </c>
      <c r="J44" s="45">
        <f t="shared" si="7"/>
        <v>38.642828112000004</v>
      </c>
      <c r="K44" s="45">
        <v>1000</v>
      </c>
      <c r="L44" s="28">
        <f t="shared" si="7"/>
        <v>2.2499999999999999E-2</v>
      </c>
      <c r="M44" s="46">
        <f t="shared" si="7"/>
        <v>1.4E-3</v>
      </c>
      <c r="N44" s="41">
        <f t="shared" ref="N44:P48" si="8">N23</f>
        <v>0.05</v>
      </c>
      <c r="O44" s="41"/>
      <c r="P44" s="45">
        <f t="shared" si="8"/>
        <v>537.12348492009301</v>
      </c>
    </row>
    <row r="45" spans="1:18" x14ac:dyDescent="0.25">
      <c r="A45" s="27">
        <v>7</v>
      </c>
      <c r="B45" s="45">
        <f t="shared" si="6"/>
        <v>106</v>
      </c>
      <c r="C45" s="28">
        <f t="shared" si="6"/>
        <v>4.2500000000000003E-2</v>
      </c>
      <c r="D45" s="28">
        <f t="shared" ref="D45:M45" si="9">D24</f>
        <v>1.4999999999999999E-2</v>
      </c>
      <c r="E45" s="28"/>
      <c r="F45" s="41">
        <f t="shared" si="9"/>
        <v>0.05</v>
      </c>
      <c r="G45" s="41">
        <f t="shared" si="9"/>
        <v>0</v>
      </c>
      <c r="H45" s="29">
        <f t="shared" si="9"/>
        <v>0.04</v>
      </c>
      <c r="I45" s="29">
        <f t="shared" si="9"/>
        <v>0.02</v>
      </c>
      <c r="J45" s="45">
        <f t="shared" si="9"/>
        <v>39.415684674240005</v>
      </c>
      <c r="K45" s="45">
        <v>1000</v>
      </c>
      <c r="L45" s="28">
        <f t="shared" si="9"/>
        <v>2.2499999999999999E-2</v>
      </c>
      <c r="M45" s="46">
        <f t="shared" si="9"/>
        <v>1.58E-3</v>
      </c>
      <c r="N45" s="41">
        <f t="shared" si="8"/>
        <v>0.05</v>
      </c>
      <c r="O45" s="41"/>
      <c r="P45" s="45">
        <f t="shared" si="8"/>
        <v>649.77726017267082</v>
      </c>
    </row>
    <row r="46" spans="1:18" x14ac:dyDescent="0.25">
      <c r="A46" s="27">
        <v>8</v>
      </c>
      <c r="B46" s="45">
        <f t="shared" si="6"/>
        <v>106</v>
      </c>
      <c r="C46" s="28">
        <f t="shared" si="6"/>
        <v>4.2500000000000003E-2</v>
      </c>
      <c r="D46" s="28">
        <f t="shared" ref="D46:M46" si="10">D25</f>
        <v>1.4999999999999999E-2</v>
      </c>
      <c r="E46" s="28"/>
      <c r="F46" s="41">
        <f t="shared" si="10"/>
        <v>0.05</v>
      </c>
      <c r="G46" s="41">
        <f t="shared" si="10"/>
        <v>0</v>
      </c>
      <c r="H46" s="29">
        <f t="shared" si="10"/>
        <v>0.04</v>
      </c>
      <c r="I46" s="29">
        <f t="shared" si="10"/>
        <v>0.02</v>
      </c>
      <c r="J46" s="45">
        <f t="shared" si="10"/>
        <v>40.203998367724807</v>
      </c>
      <c r="K46" s="45">
        <v>1000</v>
      </c>
      <c r="L46" s="28">
        <f t="shared" si="10"/>
        <v>2.2499999999999999E-2</v>
      </c>
      <c r="M46" s="46">
        <f t="shared" si="10"/>
        <v>1.7799999999999999E-3</v>
      </c>
      <c r="N46" s="41">
        <f t="shared" si="8"/>
        <v>0.05</v>
      </c>
      <c r="O46" s="41"/>
      <c r="P46" s="45">
        <f t="shared" si="8"/>
        <v>764.38876993285248</v>
      </c>
    </row>
    <row r="47" spans="1:18" x14ac:dyDescent="0.25">
      <c r="A47" s="27">
        <v>9</v>
      </c>
      <c r="B47" s="45">
        <f t="shared" si="6"/>
        <v>106</v>
      </c>
      <c r="C47" s="28">
        <f t="shared" si="6"/>
        <v>4.2500000000000003E-2</v>
      </c>
      <c r="D47" s="28">
        <f t="shared" ref="D47:M47" si="11">D26</f>
        <v>1.4999999999999999E-2</v>
      </c>
      <c r="E47" s="28"/>
      <c r="F47" s="41">
        <f t="shared" si="11"/>
        <v>0.05</v>
      </c>
      <c r="G47" s="41">
        <f t="shared" si="11"/>
        <v>0</v>
      </c>
      <c r="H47" s="29">
        <f t="shared" si="11"/>
        <v>0.04</v>
      </c>
      <c r="I47" s="29">
        <f t="shared" si="11"/>
        <v>0.02</v>
      </c>
      <c r="J47" s="45">
        <f t="shared" si="11"/>
        <v>41.008078335079304</v>
      </c>
      <c r="K47" s="45">
        <v>1000</v>
      </c>
      <c r="L47" s="28">
        <f t="shared" si="11"/>
        <v>2.2499999999999999E-2</v>
      </c>
      <c r="M47" s="46">
        <f t="shared" si="11"/>
        <v>2.0100000000000001E-3</v>
      </c>
      <c r="N47" s="41">
        <f t="shared" si="8"/>
        <v>0.05</v>
      </c>
      <c r="O47" s="41"/>
      <c r="P47" s="45">
        <f t="shared" si="8"/>
        <v>881.08017060430518</v>
      </c>
    </row>
    <row r="48" spans="1:18" x14ac:dyDescent="0.25">
      <c r="A48" s="27">
        <v>10</v>
      </c>
      <c r="B48" s="45">
        <f t="shared" si="6"/>
        <v>106</v>
      </c>
      <c r="C48" s="28">
        <f t="shared" si="6"/>
        <v>4.2500000000000003E-2</v>
      </c>
      <c r="D48" s="28">
        <f t="shared" ref="D48:M48" si="12">D27</f>
        <v>1.4999999999999999E-2</v>
      </c>
      <c r="E48" s="28"/>
      <c r="F48" s="41">
        <f t="shared" si="12"/>
        <v>0.05</v>
      </c>
      <c r="G48" s="41">
        <f t="shared" si="12"/>
        <v>0</v>
      </c>
      <c r="H48" s="29">
        <f t="shared" si="12"/>
        <v>0.04</v>
      </c>
      <c r="I48" s="29">
        <f t="shared" si="12"/>
        <v>0.02</v>
      </c>
      <c r="J48" s="45">
        <f t="shared" si="12"/>
        <v>41.82823990178089</v>
      </c>
      <c r="K48" s="45">
        <v>1000</v>
      </c>
      <c r="L48" s="28">
        <f t="shared" si="12"/>
        <v>2.2499999999999999E-2</v>
      </c>
      <c r="M48" s="46">
        <f t="shared" si="12"/>
        <v>2.2399999999999998E-3</v>
      </c>
      <c r="N48" s="41">
        <f t="shared" si="8"/>
        <v>1</v>
      </c>
      <c r="O48" s="41"/>
      <c r="P48" s="45">
        <f t="shared" si="8"/>
        <v>1004.9261083743847</v>
      </c>
    </row>
    <row r="49" spans="1:16" x14ac:dyDescent="0.25">
      <c r="K49" s="29"/>
    </row>
    <row r="50" spans="1:16" x14ac:dyDescent="0.25">
      <c r="A50" s="8"/>
    </row>
    <row r="52" spans="1:16" x14ac:dyDescent="0.25">
      <c r="B52" s="29"/>
    </row>
    <row r="53" spans="1:16" x14ac:dyDescent="0.25">
      <c r="B53" s="29"/>
      <c r="F53" s="28"/>
    </row>
    <row r="54" spans="1:16" x14ac:dyDescent="0.25">
      <c r="B54" s="29"/>
      <c r="F54" s="28"/>
    </row>
    <row r="55" spans="1:16" x14ac:dyDescent="0.25">
      <c r="B55" s="44"/>
      <c r="C55" s="44"/>
      <c r="D55" s="44"/>
      <c r="E55" s="44"/>
      <c r="F55" s="44"/>
      <c r="G55" s="44"/>
      <c r="H55" s="44"/>
      <c r="I55" s="44"/>
      <c r="J55" s="44"/>
      <c r="K55" s="44"/>
      <c r="L55" s="44"/>
      <c r="M55" s="44"/>
      <c r="N55" s="44"/>
      <c r="O55" s="44"/>
    </row>
    <row r="56" spans="1:16" x14ac:dyDescent="0.25">
      <c r="B56" s="44"/>
      <c r="C56" s="44"/>
      <c r="D56" s="44"/>
      <c r="E56" s="44"/>
      <c r="F56" s="44"/>
      <c r="G56" s="44"/>
      <c r="H56" s="44"/>
      <c r="I56" s="44"/>
      <c r="J56" s="44"/>
      <c r="K56" s="44"/>
      <c r="L56" s="44"/>
      <c r="M56" s="44"/>
      <c r="N56" s="44"/>
      <c r="O56" s="44"/>
    </row>
    <row r="57" spans="1:16" x14ac:dyDescent="0.25">
      <c r="B57" s="44"/>
      <c r="C57" s="44"/>
      <c r="D57" s="44"/>
      <c r="E57" s="44"/>
      <c r="F57" s="44"/>
      <c r="G57" s="44"/>
      <c r="H57" s="44"/>
      <c r="I57" s="44"/>
      <c r="J57" s="44"/>
      <c r="K57" s="44"/>
      <c r="L57" s="44"/>
      <c r="M57" s="44"/>
      <c r="N57" s="44"/>
      <c r="O57" s="44"/>
      <c r="P57" s="44"/>
    </row>
    <row r="58" spans="1:16" x14ac:dyDescent="0.25">
      <c r="A58" s="7"/>
      <c r="B58" s="2"/>
      <c r="C58" s="2"/>
      <c r="D58" s="2"/>
      <c r="E58" s="2"/>
      <c r="F58" s="2"/>
      <c r="G58" s="2"/>
      <c r="H58" s="2"/>
      <c r="I58" s="2"/>
      <c r="J58" s="2"/>
      <c r="K58" s="2"/>
      <c r="L58" s="2"/>
      <c r="M58" s="2"/>
      <c r="N58" s="2"/>
      <c r="O58" s="2"/>
      <c r="P58" s="2"/>
    </row>
    <row r="59" spans="1:16" x14ac:dyDescent="0.25">
      <c r="P59" s="45"/>
    </row>
    <row r="60" spans="1:16" x14ac:dyDescent="0.25">
      <c r="B60" s="45"/>
      <c r="C60" s="28"/>
      <c r="D60" s="28"/>
      <c r="E60" s="28"/>
      <c r="F60" s="41"/>
      <c r="G60" s="41"/>
      <c r="H60" s="29"/>
      <c r="I60" s="29"/>
      <c r="J60" s="45"/>
      <c r="K60" s="45"/>
      <c r="L60" s="28"/>
      <c r="M60" s="46"/>
      <c r="N60" s="41"/>
      <c r="O60" s="41"/>
      <c r="P60" s="45"/>
    </row>
    <row r="61" spans="1:16" x14ac:dyDescent="0.25">
      <c r="B61" s="45"/>
      <c r="C61" s="28"/>
      <c r="D61" s="28"/>
      <c r="E61" s="28"/>
      <c r="F61" s="41"/>
      <c r="G61" s="41"/>
      <c r="H61" s="29"/>
      <c r="I61" s="29"/>
      <c r="J61" s="45"/>
      <c r="K61" s="45"/>
      <c r="L61" s="28"/>
      <c r="M61" s="46"/>
      <c r="N61" s="41"/>
      <c r="O61" s="41"/>
      <c r="P61" s="45"/>
    </row>
    <row r="62" spans="1:16" x14ac:dyDescent="0.25">
      <c r="B62" s="45"/>
      <c r="C62" s="28"/>
      <c r="D62" s="28"/>
      <c r="E62" s="28"/>
      <c r="F62" s="41"/>
      <c r="G62" s="41"/>
      <c r="H62" s="29"/>
      <c r="I62" s="29"/>
      <c r="J62" s="45"/>
      <c r="K62" s="45"/>
      <c r="L62" s="28"/>
      <c r="M62" s="46"/>
      <c r="N62" s="41"/>
      <c r="O62" s="41"/>
      <c r="P62" s="45"/>
    </row>
    <row r="63" spans="1:16" x14ac:dyDescent="0.25">
      <c r="B63" s="45"/>
      <c r="C63" s="28"/>
      <c r="D63" s="28"/>
      <c r="E63" s="28"/>
      <c r="F63" s="41"/>
      <c r="G63" s="41"/>
      <c r="H63" s="29"/>
      <c r="I63" s="29"/>
      <c r="J63" s="45"/>
      <c r="K63" s="45"/>
      <c r="L63" s="28"/>
      <c r="M63" s="46"/>
      <c r="N63" s="41"/>
      <c r="O63" s="41"/>
      <c r="P63" s="45"/>
    </row>
    <row r="64" spans="1:16" x14ac:dyDescent="0.25">
      <c r="B64" s="45"/>
      <c r="C64" s="28"/>
      <c r="D64" s="28"/>
      <c r="E64" s="28"/>
      <c r="F64" s="41"/>
      <c r="G64" s="41"/>
      <c r="H64" s="29"/>
      <c r="I64" s="29"/>
      <c r="J64" s="45"/>
      <c r="K64" s="45"/>
      <c r="L64" s="28"/>
      <c r="M64" s="5"/>
      <c r="N64" s="41"/>
      <c r="O64" s="41"/>
      <c r="P64" s="45"/>
    </row>
    <row r="65" spans="2:16" x14ac:dyDescent="0.25">
      <c r="B65" s="45"/>
      <c r="C65" s="28"/>
      <c r="D65" s="28"/>
      <c r="E65" s="28"/>
      <c r="F65" s="41"/>
      <c r="G65" s="41"/>
      <c r="H65" s="29"/>
      <c r="I65" s="29"/>
      <c r="J65" s="45"/>
      <c r="K65" s="45"/>
      <c r="L65" s="28"/>
      <c r="M65" s="5"/>
      <c r="N65" s="41"/>
      <c r="O65" s="41"/>
      <c r="P65" s="45"/>
    </row>
    <row r="66" spans="2:16" x14ac:dyDescent="0.25">
      <c r="B66" s="45"/>
      <c r="C66" s="28"/>
      <c r="D66" s="28"/>
      <c r="E66" s="28"/>
      <c r="F66" s="41"/>
      <c r="G66" s="41"/>
      <c r="H66" s="29"/>
      <c r="I66" s="29"/>
      <c r="J66" s="45"/>
      <c r="K66" s="45"/>
      <c r="L66" s="28"/>
      <c r="M66" s="5"/>
      <c r="N66" s="41"/>
      <c r="O66" s="41"/>
      <c r="P66" s="45"/>
    </row>
    <row r="67" spans="2:16" x14ac:dyDescent="0.25">
      <c r="B67" s="45"/>
      <c r="C67" s="28"/>
      <c r="D67" s="28"/>
      <c r="E67" s="28"/>
      <c r="F67" s="41"/>
      <c r="G67" s="41"/>
      <c r="H67" s="29"/>
      <c r="I67" s="29"/>
      <c r="J67" s="45"/>
      <c r="K67" s="45"/>
      <c r="L67" s="28"/>
      <c r="M67" s="5"/>
      <c r="N67" s="41"/>
      <c r="O67" s="41"/>
      <c r="P67" s="45"/>
    </row>
    <row r="68" spans="2:16" x14ac:dyDescent="0.25">
      <c r="B68" s="45"/>
      <c r="C68" s="28"/>
      <c r="D68" s="28"/>
      <c r="E68" s="28"/>
      <c r="F68" s="41"/>
      <c r="G68" s="41"/>
      <c r="H68" s="29"/>
      <c r="I68" s="29"/>
      <c r="J68" s="45"/>
      <c r="K68" s="45"/>
      <c r="L68" s="28"/>
      <c r="M68" s="5"/>
      <c r="N68" s="41"/>
      <c r="O68" s="41"/>
      <c r="P68" s="45"/>
    </row>
    <row r="69" spans="2:16" x14ac:dyDescent="0.25">
      <c r="B69" s="45"/>
      <c r="C69" s="28"/>
      <c r="D69" s="28"/>
      <c r="E69" s="28"/>
      <c r="F69" s="41"/>
      <c r="G69" s="41"/>
      <c r="H69" s="29"/>
      <c r="I69" s="29"/>
      <c r="J69" s="45"/>
      <c r="K69" s="45"/>
      <c r="L69" s="28"/>
      <c r="M69" s="5"/>
      <c r="N69" s="41"/>
      <c r="O69" s="41"/>
      <c r="P69" s="4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6"/>
  <sheetViews>
    <sheetView workbookViewId="0">
      <selection activeCell="H51" sqref="H51"/>
    </sheetView>
  </sheetViews>
  <sheetFormatPr defaultColWidth="8.7109375" defaultRowHeight="15" x14ac:dyDescent="0.25"/>
  <cols>
    <col min="1" max="1" width="11.85546875" style="20" customWidth="1"/>
    <col min="2" max="5" width="8.7109375" style="20"/>
    <col min="6" max="6" width="10.85546875" style="20" bestFit="1" customWidth="1"/>
    <col min="7" max="7" width="8.7109375" style="20"/>
    <col min="8" max="9" width="11.42578125" style="20" bestFit="1" customWidth="1"/>
    <col min="10" max="13" width="8.7109375" style="20"/>
    <col min="14" max="14" width="11.85546875" style="20" bestFit="1" customWidth="1"/>
    <col min="15" max="16384" width="8.7109375" style="20"/>
  </cols>
  <sheetData>
    <row r="1" spans="1:14" x14ac:dyDescent="0.25">
      <c r="A1" s="21" t="s">
        <v>165</v>
      </c>
    </row>
    <row r="2" spans="1:14" x14ac:dyDescent="0.25">
      <c r="A2" s="19" t="s">
        <v>166</v>
      </c>
    </row>
    <row r="3" spans="1:14" x14ac:dyDescent="0.25">
      <c r="A3" s="23" t="s">
        <v>167</v>
      </c>
    </row>
    <row r="4" spans="1:14" x14ac:dyDescent="0.25">
      <c r="A4" s="24" t="s">
        <v>180</v>
      </c>
    </row>
    <row r="6" spans="1:14" x14ac:dyDescent="0.25">
      <c r="A6" s="20" t="s">
        <v>96</v>
      </c>
    </row>
    <row r="7" spans="1:14" x14ac:dyDescent="0.25">
      <c r="I7" s="20">
        <v>1000</v>
      </c>
    </row>
    <row r="9" spans="1:14" x14ac:dyDescent="0.25">
      <c r="B9" s="20" t="s">
        <v>95</v>
      </c>
      <c r="C9" s="20" t="s">
        <v>93</v>
      </c>
      <c r="D9" s="20" t="s">
        <v>95</v>
      </c>
    </row>
    <row r="10" spans="1:14" x14ac:dyDescent="0.25">
      <c r="B10" s="20" t="s">
        <v>94</v>
      </c>
      <c r="C10" s="20" t="s">
        <v>94</v>
      </c>
      <c r="D10" s="20" t="s">
        <v>94</v>
      </c>
      <c r="E10" s="20" t="s">
        <v>100</v>
      </c>
    </row>
    <row r="11" spans="1:14" x14ac:dyDescent="0.25">
      <c r="B11" s="20" t="s">
        <v>62</v>
      </c>
      <c r="C11" s="20" t="s">
        <v>2</v>
      </c>
      <c r="D11" s="20" t="s">
        <v>102</v>
      </c>
      <c r="E11" s="20" t="s">
        <v>99</v>
      </c>
      <c r="I11" s="20" t="s">
        <v>71</v>
      </c>
      <c r="K11" s="20" t="s">
        <v>103</v>
      </c>
      <c r="L11" s="20" t="s">
        <v>104</v>
      </c>
      <c r="M11" s="20" t="s">
        <v>95</v>
      </c>
      <c r="N11" s="20" t="s">
        <v>58</v>
      </c>
    </row>
    <row r="12" spans="1:14" x14ac:dyDescent="0.25">
      <c r="B12" s="3" t="s">
        <v>3</v>
      </c>
      <c r="C12" s="3" t="s">
        <v>3</v>
      </c>
      <c r="D12" s="3" t="s">
        <v>3</v>
      </c>
      <c r="E12" s="3" t="s">
        <v>73</v>
      </c>
      <c r="F12" s="3" t="s">
        <v>98</v>
      </c>
      <c r="G12" s="3" t="s">
        <v>101</v>
      </c>
      <c r="H12" s="3" t="s">
        <v>42</v>
      </c>
      <c r="I12" s="3" t="s">
        <v>42</v>
      </c>
      <c r="J12" s="3"/>
      <c r="K12" s="3" t="s">
        <v>4</v>
      </c>
      <c r="L12" s="3" t="s">
        <v>42</v>
      </c>
      <c r="M12" s="3" t="s">
        <v>94</v>
      </c>
      <c r="N12" s="3" t="s">
        <v>105</v>
      </c>
    </row>
    <row r="13" spans="1:14" x14ac:dyDescent="0.25">
      <c r="A13" s="20">
        <v>1</v>
      </c>
      <c r="B13" s="20" t="s">
        <v>97</v>
      </c>
      <c r="C13" s="20">
        <f>Input!O18</f>
        <v>1.2600000000000001E-3</v>
      </c>
      <c r="D13" s="47" t="s">
        <v>97</v>
      </c>
      <c r="F13" s="28">
        <v>1</v>
      </c>
      <c r="G13" s="48">
        <f>F13</f>
        <v>1</v>
      </c>
      <c r="K13" s="49"/>
      <c r="L13" s="49"/>
      <c r="M13" s="49">
        <v>0</v>
      </c>
      <c r="N13" s="49">
        <v>0</v>
      </c>
    </row>
    <row r="14" spans="1:14" x14ac:dyDescent="0.25">
      <c r="A14" s="20">
        <v>2</v>
      </c>
      <c r="B14" s="48">
        <f>Input!E19</f>
        <v>1.4999999999999999E-2</v>
      </c>
      <c r="C14" s="20">
        <f>Input!O19</f>
        <v>1.5399999999999999E-3</v>
      </c>
      <c r="D14" s="47">
        <v>0</v>
      </c>
      <c r="E14" s="20">
        <f t="shared" ref="E14:E22" si="0">$I$7*(C14+(1-C14)*D14)</f>
        <v>1.5399999999999998</v>
      </c>
      <c r="F14" s="28">
        <f>F13*(1-C14)*(1-D14)</f>
        <v>0.99846000000000001</v>
      </c>
      <c r="G14" s="20">
        <f>F14/(1+B14)^A13</f>
        <v>0.983704433497537</v>
      </c>
      <c r="H14" s="49">
        <f>E14*F13</f>
        <v>1.5399999999999998</v>
      </c>
      <c r="I14" s="49">
        <f>H14/(1+B14)^A13</f>
        <v>1.5172413793103448</v>
      </c>
      <c r="K14" s="49">
        <f>I26</f>
        <v>104.14150427254256</v>
      </c>
      <c r="L14" s="49">
        <f>H14</f>
        <v>1.5399999999999998</v>
      </c>
      <c r="M14" s="49">
        <f t="shared" ref="M14:M22" si="1">(M13+K14)*(1+B14)-L14</f>
        <v>104.16362683663068</v>
      </c>
      <c r="N14" s="49">
        <f t="shared" ref="N14:N21" si="2">M14/F14</f>
        <v>104.32428623743634</v>
      </c>
    </row>
    <row r="15" spans="1:14" x14ac:dyDescent="0.25">
      <c r="A15" s="20">
        <v>3</v>
      </c>
      <c r="B15" s="48">
        <f>Input!E20</f>
        <v>1.4999999999999999E-2</v>
      </c>
      <c r="C15" s="20">
        <f>Input!O20</f>
        <v>1.98E-3</v>
      </c>
      <c r="D15" s="47">
        <v>0</v>
      </c>
      <c r="E15" s="20">
        <f t="shared" si="0"/>
        <v>1.98</v>
      </c>
      <c r="F15" s="28">
        <f t="shared" ref="F15:F22" si="3">F14*(1-C15)*(1-D15)</f>
        <v>0.99648304920000008</v>
      </c>
      <c r="G15" s="20">
        <f t="shared" ref="G15:G22" si="4">F15/(1+B15)^A14</f>
        <v>0.96724797903370652</v>
      </c>
      <c r="H15" s="49">
        <f t="shared" ref="H15:H22" si="5">E15*F14</f>
        <v>1.9769508</v>
      </c>
      <c r="I15" s="49">
        <f t="shared" ref="I15:I22" si="6">H15/(1+B15)^A14</f>
        <v>1.9189505205173631</v>
      </c>
      <c r="K15" s="49">
        <f t="shared" ref="K15:K22" si="7">$I$26*F14</f>
        <v>103.98112635596284</v>
      </c>
      <c r="L15" s="49">
        <f t="shared" ref="L15:L22" si="8">H15</f>
        <v>1.9769508</v>
      </c>
      <c r="M15" s="49">
        <f t="shared" si="1"/>
        <v>209.28997369048241</v>
      </c>
      <c r="N15" s="49">
        <f t="shared" si="2"/>
        <v>210.02863406307344</v>
      </c>
    </row>
    <row r="16" spans="1:14" x14ac:dyDescent="0.25">
      <c r="A16" s="20">
        <v>4</v>
      </c>
      <c r="B16" s="48">
        <f>Input!E21</f>
        <v>1.4999999999999999E-2</v>
      </c>
      <c r="C16" s="20">
        <f>Input!O21</f>
        <v>2.2799999999999999E-3</v>
      </c>
      <c r="D16" s="47">
        <v>0</v>
      </c>
      <c r="E16" s="20">
        <f t="shared" si="0"/>
        <v>2.2799999999999998</v>
      </c>
      <c r="F16" s="28">
        <f t="shared" si="3"/>
        <v>0.99421106784782409</v>
      </c>
      <c r="G16" s="20">
        <f t="shared" si="4"/>
        <v>0.95078093954828558</v>
      </c>
      <c r="H16" s="49">
        <f t="shared" si="5"/>
        <v>2.2719813521760002</v>
      </c>
      <c r="I16" s="49">
        <f t="shared" si="6"/>
        <v>2.1727343765486218</v>
      </c>
      <c r="K16" s="49">
        <f t="shared" si="7"/>
        <v>103.77524372577805</v>
      </c>
      <c r="L16" s="49">
        <f t="shared" si="8"/>
        <v>2.2719813521760002</v>
      </c>
      <c r="M16" s="49">
        <f t="shared" si="1"/>
        <v>315.48921432532831</v>
      </c>
      <c r="N16" s="49">
        <f t="shared" si="2"/>
        <v>317.32619413327404</v>
      </c>
    </row>
    <row r="17" spans="1:14" x14ac:dyDescent="0.25">
      <c r="A17" s="20">
        <v>5</v>
      </c>
      <c r="B17" s="48">
        <f>Input!E22</f>
        <v>1.4999999999999999E-2</v>
      </c>
      <c r="C17" s="20">
        <f>Input!O22</f>
        <v>2.5600000000000002E-3</v>
      </c>
      <c r="D17" s="47">
        <v>0</v>
      </c>
      <c r="E17" s="20">
        <f t="shared" si="0"/>
        <v>2.56</v>
      </c>
      <c r="F17" s="28">
        <f t="shared" si="3"/>
        <v>0.99166588751413365</v>
      </c>
      <c r="G17" s="20">
        <f t="shared" si="4"/>
        <v>0.93433196092910553</v>
      </c>
      <c r="H17" s="49">
        <f t="shared" si="5"/>
        <v>2.5451803336904297</v>
      </c>
      <c r="I17" s="49">
        <f t="shared" si="6"/>
        <v>2.3980287736390262</v>
      </c>
      <c r="K17" s="49">
        <f t="shared" si="7"/>
        <v>103.53863617008328</v>
      </c>
      <c r="L17" s="49">
        <f t="shared" si="8"/>
        <v>2.5451803336904297</v>
      </c>
      <c r="M17" s="49">
        <f t="shared" si="1"/>
        <v>422.76808791915226</v>
      </c>
      <c r="N17" s="49">
        <f t="shared" si="2"/>
        <v>426.32109588737546</v>
      </c>
    </row>
    <row r="18" spans="1:14" x14ac:dyDescent="0.25">
      <c r="A18" s="20">
        <v>6</v>
      </c>
      <c r="B18" s="48">
        <f>Input!E23</f>
        <v>1.4999999999999999E-2</v>
      </c>
      <c r="C18" s="20">
        <f>Input!O23</f>
        <v>2.8E-3</v>
      </c>
      <c r="D18" s="47">
        <v>0</v>
      </c>
      <c r="E18" s="20">
        <f t="shared" si="0"/>
        <v>2.8</v>
      </c>
      <c r="F18" s="28">
        <f t="shared" si="3"/>
        <v>0.9888892230290941</v>
      </c>
      <c r="G18" s="20">
        <f t="shared" si="4"/>
        <v>0.91794663195911741</v>
      </c>
      <c r="H18" s="49">
        <f t="shared" si="5"/>
        <v>2.7766644850395741</v>
      </c>
      <c r="I18" s="49">
        <f t="shared" si="6"/>
        <v>2.5774674784251186</v>
      </c>
      <c r="K18" s="49">
        <f t="shared" si="7"/>
        <v>103.27357726148786</v>
      </c>
      <c r="L18" s="49">
        <f t="shared" si="8"/>
        <v>2.7766644850395741</v>
      </c>
      <c r="M18" s="49">
        <f t="shared" si="1"/>
        <v>531.15562567331017</v>
      </c>
      <c r="N18" s="49">
        <f t="shared" si="2"/>
        <v>537.12348492009301</v>
      </c>
    </row>
    <row r="19" spans="1:14" x14ac:dyDescent="0.25">
      <c r="A19" s="20">
        <v>7</v>
      </c>
      <c r="B19" s="48">
        <f>Input!E24</f>
        <v>1.4999999999999999E-2</v>
      </c>
      <c r="C19" s="20">
        <f>Input!O24</f>
        <v>3.16E-3</v>
      </c>
      <c r="D19" s="47">
        <v>0</v>
      </c>
      <c r="E19" s="20">
        <f t="shared" si="0"/>
        <v>3.16</v>
      </c>
      <c r="F19" s="28">
        <f t="shared" si="3"/>
        <v>0.9857643330843221</v>
      </c>
      <c r="G19" s="20">
        <f t="shared" si="4"/>
        <v>0.90152307448485391</v>
      </c>
      <c r="H19" s="49">
        <f t="shared" si="5"/>
        <v>3.1248899447719376</v>
      </c>
      <c r="I19" s="49">
        <f t="shared" si="6"/>
        <v>2.8578437014687799</v>
      </c>
      <c r="K19" s="49">
        <f t="shared" si="7"/>
        <v>102.9844112451557</v>
      </c>
      <c r="L19" s="49">
        <f t="shared" si="8"/>
        <v>3.1248899447719376</v>
      </c>
      <c r="M19" s="49">
        <f t="shared" si="1"/>
        <v>640.52724752747088</v>
      </c>
      <c r="N19" s="49">
        <f t="shared" si="2"/>
        <v>649.77726017267082</v>
      </c>
    </row>
    <row r="20" spans="1:14" x14ac:dyDescent="0.25">
      <c r="A20" s="20">
        <v>8</v>
      </c>
      <c r="B20" s="48">
        <f>Input!E25</f>
        <v>1.4999999999999999E-2</v>
      </c>
      <c r="C20" s="20">
        <f>Input!O25</f>
        <v>3.5599999999999998E-3</v>
      </c>
      <c r="D20" s="47">
        <v>0</v>
      </c>
      <c r="E20" s="20">
        <f t="shared" si="0"/>
        <v>3.5599999999999996</v>
      </c>
      <c r="F20" s="28">
        <f t="shared" si="3"/>
        <v>0.98225501205854193</v>
      </c>
      <c r="G20" s="20">
        <f t="shared" si="4"/>
        <v>0.88503808112284532</v>
      </c>
      <c r="H20" s="49">
        <f t="shared" si="5"/>
        <v>3.5093210257801863</v>
      </c>
      <c r="I20" s="49">
        <f t="shared" si="6"/>
        <v>3.1619922612473697</v>
      </c>
      <c r="K20" s="49">
        <f t="shared" si="7"/>
        <v>102.658980505621</v>
      </c>
      <c r="L20" s="49">
        <f t="shared" si="8"/>
        <v>3.5093210257801863</v>
      </c>
      <c r="M20" s="49">
        <f t="shared" si="1"/>
        <v>750.82470042780801</v>
      </c>
      <c r="N20" s="49">
        <f t="shared" si="2"/>
        <v>764.38876993285248</v>
      </c>
    </row>
    <row r="21" spans="1:14" x14ac:dyDescent="0.25">
      <c r="A21" s="20">
        <v>9</v>
      </c>
      <c r="B21" s="48">
        <f>Input!E26</f>
        <v>1.4999999999999999E-2</v>
      </c>
      <c r="C21" s="20">
        <f>Input!O26</f>
        <v>4.0200000000000001E-3</v>
      </c>
      <c r="D21" s="47">
        <v>0</v>
      </c>
      <c r="E21" s="20">
        <f t="shared" si="0"/>
        <v>4.0200000000000005</v>
      </c>
      <c r="F21" s="28">
        <f t="shared" si="3"/>
        <v>0.97830634691006657</v>
      </c>
      <c r="G21" s="20">
        <f t="shared" si="4"/>
        <v>0.86845342663717384</v>
      </c>
      <c r="H21" s="49">
        <f t="shared" si="5"/>
        <v>3.9486651484753392</v>
      </c>
      <c r="I21" s="49">
        <f t="shared" si="6"/>
        <v>3.5052739764668361</v>
      </c>
      <c r="K21" s="49">
        <f t="shared" si="7"/>
        <v>102.29351453502099</v>
      </c>
      <c r="L21" s="49">
        <f t="shared" si="8"/>
        <v>3.9486651484753392</v>
      </c>
      <c r="M21" s="49">
        <f t="shared" si="1"/>
        <v>861.96632303879608</v>
      </c>
      <c r="N21" s="49">
        <f t="shared" si="2"/>
        <v>881.08017060430518</v>
      </c>
    </row>
    <row r="22" spans="1:14" x14ac:dyDescent="0.25">
      <c r="A22" s="20">
        <v>10</v>
      </c>
      <c r="B22" s="48">
        <f>Input!E27</f>
        <v>1.4999999999999999E-2</v>
      </c>
      <c r="C22" s="20">
        <f>Input!O27</f>
        <v>4.4799999999999996E-3</v>
      </c>
      <c r="D22" s="47">
        <v>1</v>
      </c>
      <c r="E22" s="20">
        <f t="shared" si="0"/>
        <v>1000</v>
      </c>
      <c r="F22" s="28">
        <f t="shared" si="3"/>
        <v>0</v>
      </c>
      <c r="G22" s="20">
        <f t="shared" si="4"/>
        <v>0</v>
      </c>
      <c r="H22" s="49">
        <f t="shared" si="5"/>
        <v>978.30634691006662</v>
      </c>
      <c r="I22" s="49">
        <f t="shared" si="6"/>
        <v>855.61913954401382</v>
      </c>
      <c r="K22" s="49">
        <f t="shared" si="7"/>
        <v>101.88229460659021</v>
      </c>
      <c r="L22" s="49">
        <f t="shared" si="8"/>
        <v>978.30634691006662</v>
      </c>
      <c r="M22" s="49">
        <f t="shared" si="1"/>
        <v>0</v>
      </c>
      <c r="N22" s="49">
        <f>(N21+I26)*1.02</f>
        <v>1004.9261083743847</v>
      </c>
    </row>
    <row r="24" spans="1:14" x14ac:dyDescent="0.25">
      <c r="G24" s="20">
        <f>SUM(G13:G23)</f>
        <v>8.4090265272126246</v>
      </c>
      <c r="I24" s="20">
        <f>SUM(I14:I23)</f>
        <v>875.72867201163729</v>
      </c>
    </row>
    <row r="26" spans="1:14" x14ac:dyDescent="0.25">
      <c r="A26" s="20" t="s">
        <v>78</v>
      </c>
      <c r="I26" s="49">
        <f>I24/G24</f>
        <v>104.14150427254256</v>
      </c>
    </row>
    <row r="27" spans="1:14" x14ac:dyDescent="0.25">
      <c r="I27" s="49"/>
    </row>
    <row r="29" spans="1:14" x14ac:dyDescent="0.25">
      <c r="A29" s="20" t="s">
        <v>106</v>
      </c>
    </row>
    <row r="31" spans="1:14" x14ac:dyDescent="0.25">
      <c r="A31" s="20" t="s">
        <v>107</v>
      </c>
      <c r="B31" s="50">
        <v>0</v>
      </c>
    </row>
    <row r="32" spans="1:14" x14ac:dyDescent="0.25">
      <c r="B32" s="50"/>
    </row>
    <row r="33" spans="1:11" x14ac:dyDescent="0.25">
      <c r="B33" s="20" t="s">
        <v>95</v>
      </c>
      <c r="C33" s="44" t="s">
        <v>23</v>
      </c>
      <c r="E33" s="20" t="s">
        <v>93</v>
      </c>
      <c r="H33" s="20" t="s">
        <v>103</v>
      </c>
      <c r="I33" s="20" t="s">
        <v>17</v>
      </c>
      <c r="J33" s="20" t="s">
        <v>17</v>
      </c>
    </row>
    <row r="34" spans="1:11" x14ac:dyDescent="0.25">
      <c r="B34" s="20" t="s">
        <v>94</v>
      </c>
      <c r="C34" s="44" t="s">
        <v>22</v>
      </c>
      <c r="D34" s="20" t="s">
        <v>109</v>
      </c>
      <c r="E34" s="20" t="s">
        <v>94</v>
      </c>
      <c r="F34" s="44" t="s">
        <v>92</v>
      </c>
      <c r="G34" s="20" t="s">
        <v>109</v>
      </c>
      <c r="H34" s="20" t="s">
        <v>112</v>
      </c>
      <c r="I34" s="20" t="s">
        <v>62</v>
      </c>
      <c r="J34" s="20" t="s">
        <v>2</v>
      </c>
    </row>
    <row r="35" spans="1:11" x14ac:dyDescent="0.25">
      <c r="B35" s="20" t="s">
        <v>62</v>
      </c>
      <c r="C35" s="44" t="s">
        <v>57</v>
      </c>
      <c r="D35" s="20" t="s">
        <v>62</v>
      </c>
      <c r="E35" s="20" t="s">
        <v>2</v>
      </c>
      <c r="F35" s="44" t="s">
        <v>2</v>
      </c>
      <c r="G35" s="20" t="s">
        <v>2</v>
      </c>
      <c r="H35" s="20" t="s">
        <v>113</v>
      </c>
      <c r="I35" s="20" t="s">
        <v>110</v>
      </c>
      <c r="J35" s="20" t="s">
        <v>110</v>
      </c>
      <c r="K35" s="20" t="s">
        <v>17</v>
      </c>
    </row>
    <row r="36" spans="1:11" x14ac:dyDescent="0.25">
      <c r="B36" s="3" t="s">
        <v>3</v>
      </c>
      <c r="C36" s="2" t="s">
        <v>24</v>
      </c>
      <c r="D36" s="3" t="s">
        <v>3</v>
      </c>
      <c r="E36" s="3" t="s">
        <v>3</v>
      </c>
      <c r="F36" s="2" t="s">
        <v>3</v>
      </c>
      <c r="G36" s="3" t="s">
        <v>3</v>
      </c>
      <c r="H36" s="3" t="s">
        <v>111</v>
      </c>
      <c r="I36" s="3" t="s">
        <v>111</v>
      </c>
      <c r="J36" s="3" t="s">
        <v>111</v>
      </c>
      <c r="K36" s="3" t="s">
        <v>111</v>
      </c>
    </row>
    <row r="37" spans="1:11" x14ac:dyDescent="0.25">
      <c r="A37" s="20">
        <v>1</v>
      </c>
      <c r="B37" s="20" t="s">
        <v>97</v>
      </c>
      <c r="C37" s="44" t="s">
        <v>97</v>
      </c>
      <c r="D37" s="44" t="s">
        <v>97</v>
      </c>
      <c r="E37" s="44" t="s">
        <v>97</v>
      </c>
      <c r="F37" s="44" t="s">
        <v>97</v>
      </c>
      <c r="G37" s="44" t="s">
        <v>97</v>
      </c>
      <c r="H37" s="44" t="s">
        <v>97</v>
      </c>
      <c r="I37" s="51">
        <v>0</v>
      </c>
      <c r="J37" s="51">
        <v>0</v>
      </c>
      <c r="K37" s="49">
        <f>MIN(0,I37+J37)</f>
        <v>0</v>
      </c>
    </row>
    <row r="38" spans="1:11" x14ac:dyDescent="0.25">
      <c r="A38" s="20">
        <v>2</v>
      </c>
      <c r="B38" s="48">
        <f>B14</f>
        <v>1.4999999999999999E-2</v>
      </c>
      <c r="C38" s="48">
        <f>Input!C19</f>
        <v>4.2500000000000003E-2</v>
      </c>
      <c r="D38" s="48">
        <f>C38-B38</f>
        <v>2.7500000000000004E-2</v>
      </c>
      <c r="E38" s="20">
        <f>C14</f>
        <v>1.5399999999999999E-3</v>
      </c>
      <c r="F38" s="20">
        <f>Input!M19</f>
        <v>7.6999999999999996E-4</v>
      </c>
      <c r="G38" s="20">
        <f>E38-F38</f>
        <v>7.6999999999999996E-4</v>
      </c>
      <c r="H38" s="49">
        <f>(1000-N13-Input!B19)</f>
        <v>894</v>
      </c>
      <c r="I38" s="49">
        <f>(N13+Input!B19)*D38*(1-$D$31)</f>
        <v>2.9150000000000005</v>
      </c>
      <c r="J38" s="49">
        <f>H38*G38/(1+B38)*(1-B$31)</f>
        <v>0.67820689655172417</v>
      </c>
      <c r="K38" s="49">
        <f>I38+J38</f>
        <v>3.5932068965517248</v>
      </c>
    </row>
    <row r="39" spans="1:11" x14ac:dyDescent="0.25">
      <c r="A39" s="20">
        <v>3</v>
      </c>
      <c r="B39" s="48">
        <f t="shared" ref="B39:B46" si="9">B15</f>
        <v>1.4999999999999999E-2</v>
      </c>
      <c r="C39" s="48">
        <f>Input!C20</f>
        <v>4.2500000000000003E-2</v>
      </c>
      <c r="D39" s="48">
        <f t="shared" ref="D39:D46" si="10">C39-B39</f>
        <v>2.7500000000000004E-2</v>
      </c>
      <c r="E39" s="20">
        <f t="shared" ref="E39:E46" si="11">C15</f>
        <v>1.98E-3</v>
      </c>
      <c r="F39" s="20">
        <f>Input!M20</f>
        <v>9.8999999999999999E-4</v>
      </c>
      <c r="G39" s="20">
        <f t="shared" ref="G39:G46" si="12">E39-F39</f>
        <v>9.8999999999999999E-4</v>
      </c>
      <c r="H39" s="49">
        <f>(1000-N14-Input!B20)</f>
        <v>789.67571376256365</v>
      </c>
      <c r="I39" s="49">
        <f>(N14+Input!B20)*D39*(1-$D$31)</f>
        <v>5.7839178715295008</v>
      </c>
      <c r="J39" s="49">
        <f t="shared" ref="J39:J46" si="13">H39*G39/(1+B39)*(1-B$31)</f>
        <v>0.77022557302949568</v>
      </c>
      <c r="K39" s="49">
        <f t="shared" ref="K39:K46" si="14">I39+J39</f>
        <v>6.5541434445589966</v>
      </c>
    </row>
    <row r="40" spans="1:11" x14ac:dyDescent="0.25">
      <c r="A40" s="20">
        <v>4</v>
      </c>
      <c r="B40" s="48">
        <f t="shared" si="9"/>
        <v>1.4999999999999999E-2</v>
      </c>
      <c r="C40" s="48">
        <f>Input!C21</f>
        <v>4.2500000000000003E-2</v>
      </c>
      <c r="D40" s="48">
        <f t="shared" si="10"/>
        <v>2.7500000000000004E-2</v>
      </c>
      <c r="E40" s="20">
        <f t="shared" si="11"/>
        <v>2.2799999999999999E-3</v>
      </c>
      <c r="F40" s="20">
        <f>Input!M21</f>
        <v>1.14E-3</v>
      </c>
      <c r="G40" s="20">
        <f t="shared" si="12"/>
        <v>1.14E-3</v>
      </c>
      <c r="H40" s="49">
        <f>(1000-N15-Input!B21)</f>
        <v>683.97136593692653</v>
      </c>
      <c r="I40" s="49">
        <f>(N15+Input!B21)*D40*(1-$D$31)</f>
        <v>8.6907874367345208</v>
      </c>
      <c r="J40" s="49">
        <f t="shared" si="13"/>
        <v>0.76820429277644964</v>
      </c>
      <c r="K40" s="49">
        <f t="shared" si="14"/>
        <v>9.45899172951097</v>
      </c>
    </row>
    <row r="41" spans="1:11" x14ac:dyDescent="0.25">
      <c r="A41" s="20">
        <v>5</v>
      </c>
      <c r="B41" s="48">
        <f t="shared" si="9"/>
        <v>1.4999999999999999E-2</v>
      </c>
      <c r="C41" s="48">
        <f>Input!C22</f>
        <v>4.2500000000000003E-2</v>
      </c>
      <c r="D41" s="48">
        <f t="shared" si="10"/>
        <v>2.7500000000000004E-2</v>
      </c>
      <c r="E41" s="20">
        <f t="shared" si="11"/>
        <v>2.5600000000000002E-3</v>
      </c>
      <c r="F41" s="20">
        <f>Input!M22</f>
        <v>1.2800000000000001E-3</v>
      </c>
      <c r="G41" s="20">
        <f t="shared" si="12"/>
        <v>1.2800000000000001E-3</v>
      </c>
      <c r="H41" s="49">
        <f>(1000-N16-Input!B22)</f>
        <v>576.67380586672596</v>
      </c>
      <c r="I41" s="49">
        <f>(N16+Input!B22)*D41*(1-$D$31)</f>
        <v>11.641470338665037</v>
      </c>
      <c r="J41" s="49">
        <f t="shared" si="13"/>
        <v>0.72723396207823576</v>
      </c>
      <c r="K41" s="49">
        <f t="shared" si="14"/>
        <v>12.368704300743273</v>
      </c>
    </row>
    <row r="42" spans="1:11" x14ac:dyDescent="0.25">
      <c r="A42" s="20">
        <v>6</v>
      </c>
      <c r="B42" s="48">
        <f t="shared" si="9"/>
        <v>1.4999999999999999E-2</v>
      </c>
      <c r="C42" s="48">
        <f>Input!C23</f>
        <v>4.2500000000000003E-2</v>
      </c>
      <c r="D42" s="48">
        <f t="shared" si="10"/>
        <v>2.7500000000000004E-2</v>
      </c>
      <c r="E42" s="20">
        <f t="shared" si="11"/>
        <v>2.8E-3</v>
      </c>
      <c r="F42" s="20">
        <f>Input!M23</f>
        <v>1.4E-3</v>
      </c>
      <c r="G42" s="20">
        <f t="shared" si="12"/>
        <v>1.4E-3</v>
      </c>
      <c r="H42" s="49">
        <f>(1000-N17-Input!B23)</f>
        <v>467.67890411262454</v>
      </c>
      <c r="I42" s="49">
        <f>(N17+Input!B23)*D42*(1-$D$31)</f>
        <v>14.638830136902827</v>
      </c>
      <c r="J42" s="49">
        <f t="shared" si="13"/>
        <v>0.64507435050017181</v>
      </c>
      <c r="K42" s="49">
        <f t="shared" si="14"/>
        <v>15.283904487402999</v>
      </c>
    </row>
    <row r="43" spans="1:11" x14ac:dyDescent="0.25">
      <c r="A43" s="20">
        <v>7</v>
      </c>
      <c r="B43" s="48">
        <f t="shared" si="9"/>
        <v>1.4999999999999999E-2</v>
      </c>
      <c r="C43" s="48">
        <f>Input!C24</f>
        <v>4.2500000000000003E-2</v>
      </c>
      <c r="D43" s="48">
        <f t="shared" si="10"/>
        <v>2.7500000000000004E-2</v>
      </c>
      <c r="E43" s="20">
        <f t="shared" si="11"/>
        <v>3.16E-3</v>
      </c>
      <c r="F43" s="20">
        <f>Input!M24</f>
        <v>1.58E-3</v>
      </c>
      <c r="G43" s="20">
        <f t="shared" si="12"/>
        <v>1.58E-3</v>
      </c>
      <c r="H43" s="49">
        <f>(1000-N18-Input!B24)</f>
        <v>356.87651507990699</v>
      </c>
      <c r="I43" s="49">
        <f>(N18+Input!B24)*D43*(1-$D$31)</f>
        <v>17.68589583530256</v>
      </c>
      <c r="J43" s="49">
        <f t="shared" si="13"/>
        <v>0.55553191509975675</v>
      </c>
      <c r="K43" s="49">
        <f t="shared" si="14"/>
        <v>18.241427750402316</v>
      </c>
    </row>
    <row r="44" spans="1:11" x14ac:dyDescent="0.25">
      <c r="A44" s="20">
        <v>8</v>
      </c>
      <c r="B44" s="48">
        <f t="shared" si="9"/>
        <v>1.4999999999999999E-2</v>
      </c>
      <c r="C44" s="48">
        <f>Input!C25</f>
        <v>4.2500000000000003E-2</v>
      </c>
      <c r="D44" s="48">
        <f t="shared" si="10"/>
        <v>2.7500000000000004E-2</v>
      </c>
      <c r="E44" s="20">
        <f t="shared" si="11"/>
        <v>3.5599999999999998E-3</v>
      </c>
      <c r="F44" s="20">
        <f>Input!M25</f>
        <v>1.7799999999999999E-3</v>
      </c>
      <c r="G44" s="20">
        <f t="shared" si="12"/>
        <v>1.7799999999999999E-3</v>
      </c>
      <c r="H44" s="49">
        <f>(1000-N19-Input!B25)</f>
        <v>244.22273982732918</v>
      </c>
      <c r="I44" s="49">
        <f>(N19+Input!B25)*D44*(1-$D$31)</f>
        <v>20.783874654748452</v>
      </c>
      <c r="J44" s="49">
        <f t="shared" si="13"/>
        <v>0.42829209546073493</v>
      </c>
      <c r="K44" s="49">
        <f t="shared" si="14"/>
        <v>21.212166750209185</v>
      </c>
    </row>
    <row r="45" spans="1:11" x14ac:dyDescent="0.25">
      <c r="A45" s="20">
        <v>9</v>
      </c>
      <c r="B45" s="48">
        <f t="shared" si="9"/>
        <v>1.4999999999999999E-2</v>
      </c>
      <c r="C45" s="48">
        <f>Input!C26</f>
        <v>4.2500000000000003E-2</v>
      </c>
      <c r="D45" s="48">
        <f t="shared" si="10"/>
        <v>2.7500000000000004E-2</v>
      </c>
      <c r="E45" s="20">
        <f t="shared" si="11"/>
        <v>4.0200000000000001E-3</v>
      </c>
      <c r="F45" s="20">
        <f>Input!M26</f>
        <v>2.0100000000000001E-3</v>
      </c>
      <c r="G45" s="20">
        <f t="shared" si="12"/>
        <v>2.0100000000000001E-3</v>
      </c>
      <c r="H45" s="49">
        <f>(1000-N20-Input!B26)</f>
        <v>129.61123006714752</v>
      </c>
      <c r="I45" s="49">
        <f>(N20+Input!B26)*D45*(1-$D$31)</f>
        <v>23.935691173153447</v>
      </c>
      <c r="J45" s="49">
        <f t="shared" si="13"/>
        <v>0.25666854427090297</v>
      </c>
      <c r="K45" s="49">
        <f t="shared" si="14"/>
        <v>24.192359717424349</v>
      </c>
    </row>
    <row r="46" spans="1:11" x14ac:dyDescent="0.25">
      <c r="A46" s="20">
        <v>10</v>
      </c>
      <c r="B46" s="48">
        <f t="shared" si="9"/>
        <v>1.4999999999999999E-2</v>
      </c>
      <c r="C46" s="48">
        <f>Input!C27</f>
        <v>4.2500000000000003E-2</v>
      </c>
      <c r="D46" s="48">
        <f t="shared" si="10"/>
        <v>2.7500000000000004E-2</v>
      </c>
      <c r="E46" s="20">
        <f t="shared" si="11"/>
        <v>4.4799999999999996E-3</v>
      </c>
      <c r="F46" s="20">
        <f>Input!M27</f>
        <v>2.2399999999999998E-3</v>
      </c>
      <c r="G46" s="20">
        <f t="shared" si="12"/>
        <v>2.2399999999999998E-3</v>
      </c>
      <c r="H46" s="49">
        <f>(1000-N21-Input!B27)</f>
        <v>12.919829395694819</v>
      </c>
      <c r="I46" s="49">
        <f>(N21+Input!B27)*D46*(1-$D$31)</f>
        <v>27.144704691618397</v>
      </c>
      <c r="J46" s="49">
        <f t="shared" si="13"/>
        <v>2.8512726942223048E-2</v>
      </c>
      <c r="K46" s="49">
        <f t="shared" si="14"/>
        <v>27.173217418560622</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306"/>
  <sheetViews>
    <sheetView workbookViewId="0">
      <selection activeCell="H50" sqref="H50"/>
    </sheetView>
  </sheetViews>
  <sheetFormatPr defaultColWidth="8.7109375" defaultRowHeight="15" x14ac:dyDescent="0.25"/>
  <cols>
    <col min="1" max="1" width="7.7109375" style="20" customWidth="1"/>
    <col min="2" max="2" width="12.7109375" style="20" customWidth="1"/>
    <col min="3" max="3" width="13.5703125" style="20" customWidth="1"/>
    <col min="4" max="4" width="12.42578125" style="20" bestFit="1" customWidth="1"/>
    <col min="5" max="5" width="19.5703125" style="20" customWidth="1"/>
    <col min="6" max="6" width="12" style="20" bestFit="1" customWidth="1"/>
    <col min="7" max="7" width="11.5703125" style="20" customWidth="1"/>
    <col min="8" max="8" width="12.5703125" style="20" bestFit="1" customWidth="1"/>
    <col min="9" max="9" width="11" style="20" bestFit="1" customWidth="1"/>
    <col min="10" max="10" width="14" style="20" bestFit="1" customWidth="1"/>
    <col min="11" max="11" width="12.140625" style="20" bestFit="1" customWidth="1"/>
    <col min="12" max="12" width="11.7109375" style="20" customWidth="1"/>
    <col min="13" max="13" width="8.7109375" style="20"/>
    <col min="14" max="14" width="11" style="20" bestFit="1" customWidth="1"/>
    <col min="15" max="18" width="8.7109375" style="20"/>
    <col min="19" max="19" width="14" style="20" customWidth="1"/>
    <col min="20" max="20" width="14.5703125" style="20" bestFit="1" customWidth="1"/>
    <col min="21" max="21" width="17.5703125" style="20" customWidth="1"/>
    <col min="22" max="22" width="11.85546875" style="20" customWidth="1"/>
    <col min="23" max="23" width="12.140625" style="20" customWidth="1"/>
    <col min="24" max="24" width="11.5703125" style="20" customWidth="1"/>
    <col min="25" max="16384" width="8.7109375" style="20"/>
  </cols>
  <sheetData>
    <row r="1" spans="1:17" x14ac:dyDescent="0.25">
      <c r="A1" s="21" t="s">
        <v>165</v>
      </c>
    </row>
    <row r="2" spans="1:17" x14ac:dyDescent="0.25">
      <c r="A2" s="19" t="s">
        <v>166</v>
      </c>
    </row>
    <row r="3" spans="1:17" x14ac:dyDescent="0.25">
      <c r="A3" s="23" t="s">
        <v>167</v>
      </c>
    </row>
    <row r="4" spans="1:17" x14ac:dyDescent="0.25">
      <c r="A4" s="24" t="s">
        <v>180</v>
      </c>
    </row>
    <row r="6" spans="1:17" x14ac:dyDescent="0.25">
      <c r="A6" s="1" t="s">
        <v>29</v>
      </c>
      <c r="B6" s="1"/>
      <c r="C6" s="1"/>
      <c r="D6" s="1"/>
    </row>
    <row r="7" spans="1:17" x14ac:dyDescent="0.25">
      <c r="A7" s="1"/>
      <c r="B7" s="1"/>
      <c r="C7" s="1"/>
      <c r="D7" s="1"/>
    </row>
    <row r="8" spans="1:17" x14ac:dyDescent="0.25">
      <c r="A8" s="1" t="s">
        <v>80</v>
      </c>
      <c r="B8" s="1"/>
      <c r="C8" s="1"/>
      <c r="D8" s="1"/>
    </row>
    <row r="10" spans="1:17" x14ac:dyDescent="0.25">
      <c r="A10" s="3" t="s">
        <v>114</v>
      </c>
      <c r="B10" s="3"/>
      <c r="C10" s="3"/>
      <c r="D10" s="3"/>
      <c r="J10" s="3" t="s">
        <v>115</v>
      </c>
    </row>
    <row r="12" spans="1:17" x14ac:dyDescent="0.25">
      <c r="A12" s="44" t="s">
        <v>0</v>
      </c>
      <c r="B12" s="44" t="s">
        <v>72</v>
      </c>
      <c r="C12" s="44" t="s">
        <v>72</v>
      </c>
      <c r="D12" s="44" t="s">
        <v>31</v>
      </c>
      <c r="F12" s="44" t="s">
        <v>73</v>
      </c>
      <c r="G12" s="44" t="s">
        <v>73</v>
      </c>
      <c r="H12" s="44" t="s">
        <v>64</v>
      </c>
      <c r="J12" s="44" t="s">
        <v>0</v>
      </c>
      <c r="K12" s="44" t="s">
        <v>72</v>
      </c>
      <c r="L12" s="44" t="s">
        <v>72</v>
      </c>
      <c r="M12" s="44" t="s">
        <v>31</v>
      </c>
      <c r="O12" s="44" t="s">
        <v>73</v>
      </c>
      <c r="P12" s="44" t="s">
        <v>73</v>
      </c>
      <c r="Q12" s="44" t="s">
        <v>64</v>
      </c>
    </row>
    <row r="13" spans="1:17" x14ac:dyDescent="0.25">
      <c r="A13" s="2" t="s">
        <v>1</v>
      </c>
      <c r="B13" s="2" t="s">
        <v>32</v>
      </c>
      <c r="C13" s="2" t="s">
        <v>33</v>
      </c>
      <c r="D13" s="2" t="s">
        <v>34</v>
      </c>
      <c r="F13" s="2" t="s">
        <v>32</v>
      </c>
      <c r="G13" s="2" t="s">
        <v>33</v>
      </c>
      <c r="H13" s="2" t="s">
        <v>34</v>
      </c>
      <c r="J13" s="2" t="s">
        <v>1</v>
      </c>
      <c r="K13" s="2" t="s">
        <v>32</v>
      </c>
      <c r="L13" s="2" t="s">
        <v>33</v>
      </c>
      <c r="M13" s="2" t="s">
        <v>34</v>
      </c>
      <c r="O13" s="2" t="s">
        <v>32</v>
      </c>
      <c r="P13" s="2" t="s">
        <v>33</v>
      </c>
      <c r="Q13" s="2" t="s">
        <v>34</v>
      </c>
    </row>
    <row r="14" spans="1:17" x14ac:dyDescent="0.25">
      <c r="D14" s="52">
        <f>Input!B10</f>
        <v>1000</v>
      </c>
      <c r="H14" s="53">
        <f>D14*Input!B$11</f>
        <v>100000</v>
      </c>
      <c r="M14" s="52">
        <f>D14</f>
        <v>1000</v>
      </c>
      <c r="Q14" s="53">
        <f>M14*Input!B$11</f>
        <v>100000</v>
      </c>
    </row>
    <row r="15" spans="1:17" x14ac:dyDescent="0.25">
      <c r="A15" s="20">
        <v>1</v>
      </c>
      <c r="B15" s="52">
        <f>'CSV and dividend determination'!C13*'Actuarial balances'!D14</f>
        <v>1.26</v>
      </c>
      <c r="C15" s="52">
        <v>0</v>
      </c>
      <c r="D15" s="52">
        <f t="shared" ref="D15:D24" si="0">D14-B15-C15</f>
        <v>998.74</v>
      </c>
      <c r="F15" s="53">
        <f t="shared" ref="F15:F24" si="1">H$14/D$14*B15</f>
        <v>126</v>
      </c>
      <c r="G15" s="53">
        <f t="shared" ref="G15:G24" si="2">H$14/D$14*C15</f>
        <v>0</v>
      </c>
      <c r="H15" s="53">
        <f t="shared" ref="H15:H24" si="3">H14-F15-G15</f>
        <v>99874</v>
      </c>
      <c r="J15" s="20">
        <v>1</v>
      </c>
      <c r="K15" s="52">
        <f>Input!M18*'Actuarial balances'!M14</f>
        <v>0.63</v>
      </c>
      <c r="L15" s="52">
        <f>Input!N18*(M14-K15)</f>
        <v>49.968500000000006</v>
      </c>
      <c r="M15" s="52">
        <f t="shared" ref="M15:M24" si="4">M14-K15-L15</f>
        <v>949.40149999999994</v>
      </c>
      <c r="O15" s="53">
        <f t="shared" ref="O15:O24" si="5">Q$14/M$14*K15</f>
        <v>63</v>
      </c>
      <c r="P15" s="53">
        <f t="shared" ref="P15:P24" si="6">Q$14/M$14*L15</f>
        <v>4996.8500000000004</v>
      </c>
      <c r="Q15" s="53">
        <f t="shared" ref="Q15:Q24" si="7">Q14-O15-P15</f>
        <v>94940.15</v>
      </c>
    </row>
    <row r="16" spans="1:17" x14ac:dyDescent="0.25">
      <c r="A16" s="20">
        <v>2</v>
      </c>
      <c r="B16" s="52">
        <f>'CSV and dividend determination'!C14*'Actuarial balances'!D15</f>
        <v>1.5380596</v>
      </c>
      <c r="C16" s="52">
        <v>0</v>
      </c>
      <c r="D16" s="52">
        <f t="shared" si="0"/>
        <v>997.20194040000001</v>
      </c>
      <c r="F16" s="53">
        <f t="shared" si="1"/>
        <v>153.80596</v>
      </c>
      <c r="G16" s="53">
        <f t="shared" si="2"/>
        <v>0</v>
      </c>
      <c r="H16" s="53">
        <f t="shared" si="3"/>
        <v>99720.194040000002</v>
      </c>
      <c r="J16" s="20">
        <v>2</v>
      </c>
      <c r="K16" s="52">
        <f>Input!M19*'Actuarial balances'!M15</f>
        <v>0.73103915499999994</v>
      </c>
      <c r="L16" s="52">
        <f>Input!N19*(M15-K16)</f>
        <v>47.433523042250002</v>
      </c>
      <c r="M16" s="52">
        <f t="shared" si="4"/>
        <v>901.23693780274994</v>
      </c>
      <c r="O16" s="53">
        <f t="shared" si="5"/>
        <v>73.103915499999999</v>
      </c>
      <c r="P16" s="53">
        <f t="shared" si="6"/>
        <v>4743.3523042249999</v>
      </c>
      <c r="Q16" s="53">
        <f t="shared" si="7"/>
        <v>90123.693780274989</v>
      </c>
    </row>
    <row r="17" spans="1:29" x14ac:dyDescent="0.25">
      <c r="A17" s="20">
        <v>3</v>
      </c>
      <c r="B17" s="52">
        <f>'CSV and dividend determination'!C15*'Actuarial balances'!D16</f>
        <v>1.9744598419920001</v>
      </c>
      <c r="C17" s="52">
        <v>0</v>
      </c>
      <c r="D17" s="52">
        <f t="shared" si="0"/>
        <v>995.22748055800798</v>
      </c>
      <c r="F17" s="53">
        <f t="shared" si="1"/>
        <v>197.44598419920001</v>
      </c>
      <c r="G17" s="53">
        <f t="shared" si="2"/>
        <v>0</v>
      </c>
      <c r="H17" s="53">
        <f t="shared" si="3"/>
        <v>99522.748055800796</v>
      </c>
      <c r="J17" s="20">
        <v>3</v>
      </c>
      <c r="K17" s="52">
        <f>Input!M20*'Actuarial balances'!M16</f>
        <v>0.89222456842472242</v>
      </c>
      <c r="L17" s="52">
        <f>Input!N20*(M16-K17)</f>
        <v>45.017235661716263</v>
      </c>
      <c r="M17" s="52">
        <f t="shared" si="4"/>
        <v>855.32747757260893</v>
      </c>
      <c r="O17" s="53">
        <f t="shared" si="5"/>
        <v>89.222456842472241</v>
      </c>
      <c r="P17" s="53">
        <f t="shared" si="6"/>
        <v>4501.7235661716268</v>
      </c>
      <c r="Q17" s="53">
        <f t="shared" si="7"/>
        <v>85532.747757260891</v>
      </c>
    </row>
    <row r="18" spans="1:29" x14ac:dyDescent="0.25">
      <c r="A18" s="20">
        <v>4</v>
      </c>
      <c r="B18" s="52">
        <f>'CSV and dividend determination'!C16*'Actuarial balances'!D17</f>
        <v>2.269118655672258</v>
      </c>
      <c r="C18" s="52">
        <v>0</v>
      </c>
      <c r="D18" s="52">
        <f t="shared" si="0"/>
        <v>992.9583619023357</v>
      </c>
      <c r="F18" s="53">
        <f t="shared" si="1"/>
        <v>226.91186556722579</v>
      </c>
      <c r="G18" s="53">
        <f t="shared" si="2"/>
        <v>0</v>
      </c>
      <c r="H18" s="53">
        <f t="shared" si="3"/>
        <v>99295.836190233575</v>
      </c>
      <c r="J18" s="20">
        <v>4</v>
      </c>
      <c r="K18" s="52">
        <f>Input!M21*'Actuarial balances'!M17</f>
        <v>0.97507332443277417</v>
      </c>
      <c r="L18" s="52">
        <f>Input!N21*(M17-K18)</f>
        <v>42.717620212408811</v>
      </c>
      <c r="M18" s="52">
        <f t="shared" si="4"/>
        <v>811.63478403576732</v>
      </c>
      <c r="O18" s="53">
        <f t="shared" si="5"/>
        <v>97.50733244327742</v>
      </c>
      <c r="P18" s="53">
        <f t="shared" si="6"/>
        <v>4271.762021240881</v>
      </c>
      <c r="Q18" s="53">
        <f t="shared" si="7"/>
        <v>81163.478403576737</v>
      </c>
    </row>
    <row r="19" spans="1:29" x14ac:dyDescent="0.25">
      <c r="A19" s="20">
        <v>5</v>
      </c>
      <c r="B19" s="52">
        <f>'CSV and dividend determination'!C17*'Actuarial balances'!D18</f>
        <v>2.5419734064699795</v>
      </c>
      <c r="C19" s="52">
        <v>0</v>
      </c>
      <c r="D19" s="52">
        <f t="shared" si="0"/>
        <v>990.4163884958657</v>
      </c>
      <c r="F19" s="53">
        <f t="shared" si="1"/>
        <v>254.19734064699796</v>
      </c>
      <c r="G19" s="53">
        <f t="shared" si="2"/>
        <v>0</v>
      </c>
      <c r="H19" s="53">
        <f t="shared" si="3"/>
        <v>99041.638849586583</v>
      </c>
      <c r="J19" s="20">
        <v>5</v>
      </c>
      <c r="K19" s="52">
        <f>Input!M22*'Actuarial balances'!M18</f>
        <v>1.0388925235657822</v>
      </c>
      <c r="L19" s="52">
        <f>Input!N22*(M18-K19)</f>
        <v>40.529794575610083</v>
      </c>
      <c r="M19" s="52">
        <f t="shared" si="4"/>
        <v>770.06609693659152</v>
      </c>
      <c r="O19" s="53">
        <f t="shared" si="5"/>
        <v>103.88925235657823</v>
      </c>
      <c r="P19" s="53">
        <f t="shared" si="6"/>
        <v>4052.9794575610085</v>
      </c>
      <c r="Q19" s="53">
        <f t="shared" si="7"/>
        <v>77006.609693659149</v>
      </c>
      <c r="T19" s="54">
        <f>O19*1000</f>
        <v>103889.25235657823</v>
      </c>
    </row>
    <row r="20" spans="1:29" x14ac:dyDescent="0.25">
      <c r="A20" s="20">
        <v>6</v>
      </c>
      <c r="B20" s="52">
        <f>'CSV and dividend determination'!C18*'Actuarial balances'!D19</f>
        <v>2.7731658877884238</v>
      </c>
      <c r="C20" s="52">
        <v>0</v>
      </c>
      <c r="D20" s="52">
        <f t="shared" si="0"/>
        <v>987.64322260807728</v>
      </c>
      <c r="F20" s="53">
        <f t="shared" si="1"/>
        <v>277.3165887788424</v>
      </c>
      <c r="G20" s="53">
        <f t="shared" si="2"/>
        <v>0</v>
      </c>
      <c r="H20" s="53">
        <f t="shared" si="3"/>
        <v>98764.322260807734</v>
      </c>
      <c r="J20" s="20">
        <v>6</v>
      </c>
      <c r="K20" s="52">
        <f>Input!M23*'Actuarial balances'!M19</f>
        <v>1.0780925357112281</v>
      </c>
      <c r="L20" s="52">
        <f>Input!N23*(M19-K20)</f>
        <v>38.449400220044019</v>
      </c>
      <c r="M20" s="52">
        <f t="shared" si="4"/>
        <v>730.53860418083627</v>
      </c>
      <c r="O20" s="53">
        <f t="shared" si="5"/>
        <v>107.80925357112281</v>
      </c>
      <c r="P20" s="53">
        <f t="shared" si="6"/>
        <v>3844.9400220044017</v>
      </c>
      <c r="Q20" s="53">
        <f t="shared" si="7"/>
        <v>73053.860418083626</v>
      </c>
    </row>
    <row r="21" spans="1:29" x14ac:dyDescent="0.25">
      <c r="A21" s="20">
        <v>7</v>
      </c>
      <c r="B21" s="52">
        <f>'CSV and dividend determination'!C19*'Actuarial balances'!D20</f>
        <v>3.1209525834415244</v>
      </c>
      <c r="C21" s="52">
        <v>0</v>
      </c>
      <c r="D21" s="52">
        <f t="shared" si="0"/>
        <v>984.52227002463576</v>
      </c>
      <c r="F21" s="53">
        <f t="shared" si="1"/>
        <v>312.09525834415246</v>
      </c>
      <c r="G21" s="53">
        <f t="shared" si="2"/>
        <v>0</v>
      </c>
      <c r="H21" s="53">
        <f t="shared" si="3"/>
        <v>98452.22700246358</v>
      </c>
      <c r="J21" s="20">
        <v>7</v>
      </c>
      <c r="K21" s="52">
        <f>Input!M24*'Actuarial balances'!M20</f>
        <v>1.1542509946057213</v>
      </c>
      <c r="L21" s="52">
        <f>Input!N24*(M20-K21)</f>
        <v>36.469217659311532</v>
      </c>
      <c r="M21" s="52">
        <f t="shared" si="4"/>
        <v>692.91513552691902</v>
      </c>
      <c r="O21" s="53">
        <f t="shared" si="5"/>
        <v>115.42509946057213</v>
      </c>
      <c r="P21" s="53">
        <f t="shared" si="6"/>
        <v>3646.921765931153</v>
      </c>
      <c r="Q21" s="53">
        <f t="shared" si="7"/>
        <v>69291.513552691904</v>
      </c>
    </row>
    <row r="22" spans="1:29" x14ac:dyDescent="0.25">
      <c r="A22" s="20">
        <v>8</v>
      </c>
      <c r="B22" s="52">
        <f>'CSV and dividend determination'!C20*'Actuarial balances'!D21</f>
        <v>3.5048992812877029</v>
      </c>
      <c r="C22" s="52">
        <v>0</v>
      </c>
      <c r="D22" s="52">
        <f t="shared" si="0"/>
        <v>981.01737074334801</v>
      </c>
      <c r="F22" s="53">
        <f t="shared" si="1"/>
        <v>350.48992812877032</v>
      </c>
      <c r="G22" s="53">
        <f t="shared" si="2"/>
        <v>0</v>
      </c>
      <c r="H22" s="53">
        <f t="shared" si="3"/>
        <v>98101.737074334815</v>
      </c>
      <c r="J22" s="20">
        <v>8</v>
      </c>
      <c r="K22" s="52">
        <f>Input!M25*'Actuarial balances'!M21</f>
        <v>1.2333889412379158</v>
      </c>
      <c r="L22" s="52">
        <f>Input!N25*(M21-K22)</f>
        <v>34.58408732928406</v>
      </c>
      <c r="M22" s="52">
        <f t="shared" si="4"/>
        <v>657.09765925639704</v>
      </c>
      <c r="O22" s="53">
        <f t="shared" si="5"/>
        <v>123.33889412379158</v>
      </c>
      <c r="P22" s="53">
        <f t="shared" si="6"/>
        <v>3458.4087329284062</v>
      </c>
      <c r="Q22" s="53">
        <f t="shared" si="7"/>
        <v>65709.765925639702</v>
      </c>
    </row>
    <row r="23" spans="1:29" x14ac:dyDescent="0.25">
      <c r="A23" s="20">
        <v>9</v>
      </c>
      <c r="B23" s="52">
        <f>'CSV and dividend determination'!C21*'Actuarial balances'!D22</f>
        <v>3.943689830388259</v>
      </c>
      <c r="C23" s="52">
        <v>0</v>
      </c>
      <c r="D23" s="52">
        <f t="shared" si="0"/>
        <v>977.07368091295973</v>
      </c>
      <c r="F23" s="53">
        <f t="shared" si="1"/>
        <v>394.36898303882589</v>
      </c>
      <c r="G23" s="53">
        <f t="shared" si="2"/>
        <v>0</v>
      </c>
      <c r="H23" s="53">
        <f t="shared" si="3"/>
        <v>97707.368091295983</v>
      </c>
      <c r="J23" s="20">
        <v>9</v>
      </c>
      <c r="K23" s="52">
        <f>Input!M26*'Actuarial balances'!M22</f>
        <v>1.320766295105358</v>
      </c>
      <c r="L23" s="52">
        <f>Input!N26*(M22-K23)</f>
        <v>32.788844648064583</v>
      </c>
      <c r="M23" s="52">
        <f t="shared" si="4"/>
        <v>622.98804831322707</v>
      </c>
      <c r="O23" s="53">
        <f t="shared" si="5"/>
        <v>132.07662951053581</v>
      </c>
      <c r="P23" s="53">
        <f t="shared" si="6"/>
        <v>3278.8844648064583</v>
      </c>
      <c r="Q23" s="53">
        <f t="shared" si="7"/>
        <v>62298.804831322705</v>
      </c>
    </row>
    <row r="24" spans="1:29" x14ac:dyDescent="0.25">
      <c r="A24" s="20">
        <v>10</v>
      </c>
      <c r="B24" s="52">
        <f>'CSV and dividend determination'!C22*'Actuarial balances'!D23</f>
        <v>4.3772900904900593</v>
      </c>
      <c r="C24" s="52">
        <f>Input!N27*('Actuarial balances'!D23-'Actuarial balances'!B24)</f>
        <v>972.69639082246965</v>
      </c>
      <c r="D24" s="52">
        <f t="shared" si="0"/>
        <v>0</v>
      </c>
      <c r="F24" s="53">
        <f t="shared" si="1"/>
        <v>437.72900904900592</v>
      </c>
      <c r="G24" s="53">
        <f t="shared" si="2"/>
        <v>97269.639082246969</v>
      </c>
      <c r="H24" s="53">
        <f t="shared" si="3"/>
        <v>0</v>
      </c>
      <c r="J24" s="20">
        <v>10</v>
      </c>
      <c r="K24" s="52">
        <f>Input!M27*'Actuarial balances'!M23</f>
        <v>1.3954932282216286</v>
      </c>
      <c r="L24" s="52">
        <f>Input!N27*(M23-K24)</f>
        <v>621.59255508500542</v>
      </c>
      <c r="M24" s="52">
        <f t="shared" si="4"/>
        <v>0</v>
      </c>
      <c r="O24" s="53">
        <f t="shared" si="5"/>
        <v>139.54932282216285</v>
      </c>
      <c r="P24" s="53">
        <f t="shared" si="6"/>
        <v>62159.255508500544</v>
      </c>
      <c r="Q24" s="53">
        <f t="shared" si="7"/>
        <v>0</v>
      </c>
    </row>
    <row r="25" spans="1:29" x14ac:dyDescent="0.25">
      <c r="B25" s="52"/>
      <c r="C25" s="52"/>
      <c r="D25" s="52"/>
      <c r="E25" s="52"/>
      <c r="F25" s="52"/>
      <c r="G25" s="52"/>
      <c r="H25" s="52"/>
    </row>
    <row r="26" spans="1:29" x14ac:dyDescent="0.25">
      <c r="A26" s="3" t="s">
        <v>65</v>
      </c>
    </row>
    <row r="28" spans="1:29" x14ac:dyDescent="0.25">
      <c r="B28" s="47"/>
    </row>
    <row r="29" spans="1:29" x14ac:dyDescent="0.25">
      <c r="C29" s="44" t="s">
        <v>69</v>
      </c>
      <c r="D29" s="44" t="s">
        <v>70</v>
      </c>
      <c r="G29" s="44"/>
      <c r="H29" s="44" t="s">
        <v>71</v>
      </c>
      <c r="M29" s="81"/>
      <c r="N29" s="81"/>
      <c r="O29" s="81"/>
      <c r="R29" s="20" t="s">
        <v>157</v>
      </c>
      <c r="S29" s="20" t="s">
        <v>142</v>
      </c>
      <c r="T29" s="44"/>
      <c r="U29" s="44"/>
      <c r="X29" s="44"/>
      <c r="Y29" s="44"/>
    </row>
    <row r="30" spans="1:29" x14ac:dyDescent="0.25">
      <c r="A30" s="44" t="s">
        <v>0</v>
      </c>
      <c r="B30" s="44" t="s">
        <v>60</v>
      </c>
      <c r="C30" s="44" t="s">
        <v>59</v>
      </c>
      <c r="D30" s="44" t="s">
        <v>59</v>
      </c>
      <c r="F30" s="44"/>
      <c r="G30" s="44" t="s">
        <v>9</v>
      </c>
      <c r="H30" s="44" t="s">
        <v>9</v>
      </c>
      <c r="I30" s="44" t="s">
        <v>41</v>
      </c>
      <c r="J30" s="44" t="s">
        <v>102</v>
      </c>
      <c r="K30" s="44" t="s">
        <v>18</v>
      </c>
      <c r="L30" s="44" t="s">
        <v>74</v>
      </c>
      <c r="R30" s="30" t="s">
        <v>0</v>
      </c>
      <c r="S30" s="30" t="s">
        <v>31</v>
      </c>
      <c r="T30" s="30" t="s">
        <v>141</v>
      </c>
      <c r="U30" s="30" t="s">
        <v>41</v>
      </c>
      <c r="V30" s="30" t="s">
        <v>102</v>
      </c>
      <c r="W30" s="30" t="s">
        <v>18</v>
      </c>
      <c r="X30" s="44"/>
      <c r="Y30" s="44"/>
      <c r="Z30" s="44"/>
      <c r="AB30" s="44" t="s">
        <v>18</v>
      </c>
      <c r="AC30" s="44" t="s">
        <v>74</v>
      </c>
    </row>
    <row r="31" spans="1:29" x14ac:dyDescent="0.25">
      <c r="A31" s="2" t="s">
        <v>1</v>
      </c>
      <c r="B31" s="2" t="s">
        <v>68</v>
      </c>
      <c r="C31" s="2" t="s">
        <v>66</v>
      </c>
      <c r="D31" s="2" t="s">
        <v>66</v>
      </c>
      <c r="E31" s="2" t="s">
        <v>4</v>
      </c>
      <c r="F31" s="2" t="s">
        <v>67</v>
      </c>
      <c r="G31" s="2" t="s">
        <v>5</v>
      </c>
      <c r="H31" s="2" t="s">
        <v>5</v>
      </c>
      <c r="I31" s="2" t="s">
        <v>42</v>
      </c>
      <c r="J31" s="2" t="s">
        <v>42</v>
      </c>
      <c r="K31" s="2" t="s">
        <v>42</v>
      </c>
      <c r="L31" s="2" t="s">
        <v>42</v>
      </c>
      <c r="R31" s="36" t="s">
        <v>1</v>
      </c>
      <c r="S31" s="36" t="s">
        <v>138</v>
      </c>
      <c r="T31" s="36" t="s">
        <v>4</v>
      </c>
      <c r="U31" s="36" t="s">
        <v>42</v>
      </c>
      <c r="V31" s="36" t="s">
        <v>42</v>
      </c>
      <c r="W31" s="36" t="s">
        <v>140</v>
      </c>
      <c r="X31" s="44"/>
      <c r="Y31" s="44"/>
      <c r="Z31" s="44"/>
      <c r="AB31" s="44" t="s">
        <v>42</v>
      </c>
      <c r="AC31" s="44" t="s">
        <v>42</v>
      </c>
    </row>
    <row r="32" spans="1:29" x14ac:dyDescent="0.25">
      <c r="A32" s="44"/>
      <c r="R32" s="39">
        <v>0</v>
      </c>
      <c r="S32" s="55">
        <f>D14</f>
        <v>1000</v>
      </c>
      <c r="T32" s="39"/>
      <c r="U32" s="39"/>
      <c r="V32" s="39"/>
      <c r="W32" s="39"/>
    </row>
    <row r="33" spans="1:23" x14ac:dyDescent="0.25">
      <c r="A33" s="44">
        <v>1</v>
      </c>
      <c r="B33" s="48">
        <f>Input!D18</f>
        <v>1.4999999999999999E-2</v>
      </c>
      <c r="C33" s="56">
        <v>1</v>
      </c>
      <c r="D33" s="57">
        <f>C34</f>
        <v>0.98522167487684742</v>
      </c>
      <c r="E33" s="29">
        <f>H14*Input!B18</f>
        <v>10600000</v>
      </c>
      <c r="F33" s="29">
        <f>E33*C33</f>
        <v>10600000</v>
      </c>
      <c r="G33" s="29">
        <v>0</v>
      </c>
      <c r="H33" s="29">
        <f>C33*G33</f>
        <v>0</v>
      </c>
      <c r="I33" s="29">
        <f>F15*1000</f>
        <v>126000</v>
      </c>
      <c r="J33" s="29">
        <v>0</v>
      </c>
      <c r="K33" s="29">
        <f t="shared" ref="K33:K42" si="8">I33+J33</f>
        <v>126000</v>
      </c>
      <c r="L33" s="29">
        <f>D33*K33</f>
        <v>124137.93103448277</v>
      </c>
      <c r="R33" s="39">
        <f>A33</f>
        <v>1</v>
      </c>
      <c r="S33" s="55">
        <f t="shared" ref="S33:S42" si="9">D15</f>
        <v>998.74</v>
      </c>
      <c r="T33" s="58">
        <f>E33</f>
        <v>10600000</v>
      </c>
      <c r="U33" s="58">
        <f>I33</f>
        <v>126000</v>
      </c>
      <c r="V33" s="58">
        <f>J33</f>
        <v>0</v>
      </c>
      <c r="W33" s="59">
        <f>U33+V33</f>
        <v>126000</v>
      </c>
    </row>
    <row r="34" spans="1:23" x14ac:dyDescent="0.25">
      <c r="A34" s="44">
        <v>2</v>
      </c>
      <c r="B34" s="48">
        <f>Input!D19</f>
        <v>1.4999999999999999E-2</v>
      </c>
      <c r="C34" s="56">
        <f t="shared" ref="C34:C42" si="10">C33/(1+B33)</f>
        <v>0.98522167487684742</v>
      </c>
      <c r="D34" s="56">
        <f t="shared" ref="D34:D42" si="11">D33/(1+B33)</f>
        <v>0.97066174864714039</v>
      </c>
      <c r="E34" s="29">
        <f>H15*Input!B19</f>
        <v>10586644</v>
      </c>
      <c r="F34" s="29">
        <f t="shared" ref="F34:F42" si="12">E34*C34</f>
        <v>10430191.133004928</v>
      </c>
      <c r="G34" s="29">
        <v>0</v>
      </c>
      <c r="H34" s="29">
        <f t="shared" ref="H34:H42" si="13">C34*G34</f>
        <v>0</v>
      </c>
      <c r="I34" s="29">
        <f t="shared" ref="I34:I42" si="14">F16*1000</f>
        <v>153805.96</v>
      </c>
      <c r="J34" s="29">
        <v>0</v>
      </c>
      <c r="K34" s="29">
        <f t="shared" si="8"/>
        <v>153805.96</v>
      </c>
      <c r="L34" s="29">
        <f t="shared" ref="L34:L42" si="15">D34*K34</f>
        <v>149293.56208595212</v>
      </c>
      <c r="R34" s="39">
        <f t="shared" ref="R34:R42" si="16">A34</f>
        <v>2</v>
      </c>
      <c r="S34" s="55">
        <f t="shared" si="9"/>
        <v>997.20194040000001</v>
      </c>
      <c r="T34" s="58">
        <f t="shared" ref="T34:T42" si="17">E34</f>
        <v>10586644</v>
      </c>
      <c r="U34" s="58">
        <f t="shared" ref="U34:U42" si="18">I34</f>
        <v>153805.96</v>
      </c>
      <c r="V34" s="58">
        <f t="shared" ref="V34:V42" si="19">J34</f>
        <v>0</v>
      </c>
      <c r="W34" s="59">
        <f t="shared" ref="W34:W42" si="20">U34+V34</f>
        <v>153805.96</v>
      </c>
    </row>
    <row r="35" spans="1:23" x14ac:dyDescent="0.25">
      <c r="A35" s="44">
        <v>3</v>
      </c>
      <c r="B35" s="48">
        <f>Input!D20</f>
        <v>1.4999999999999999E-2</v>
      </c>
      <c r="C35" s="56">
        <f t="shared" si="10"/>
        <v>0.97066174864714039</v>
      </c>
      <c r="D35" s="56">
        <f t="shared" si="11"/>
        <v>0.95631699374102508</v>
      </c>
      <c r="E35" s="29">
        <f>H16*Input!B20</f>
        <v>10570340.56824</v>
      </c>
      <c r="F35" s="29">
        <f t="shared" si="12"/>
        <v>10260225.259763645</v>
      </c>
      <c r="G35" s="29">
        <v>0</v>
      </c>
      <c r="H35" s="29">
        <f t="shared" si="13"/>
        <v>0</v>
      </c>
      <c r="I35" s="29">
        <f t="shared" si="14"/>
        <v>197445.9841992</v>
      </c>
      <c r="J35" s="29">
        <v>0</v>
      </c>
      <c r="K35" s="29">
        <f t="shared" si="8"/>
        <v>197445.9841992</v>
      </c>
      <c r="L35" s="29">
        <f t="shared" si="15"/>
        <v>188820.95003561687</v>
      </c>
      <c r="R35" s="39">
        <f t="shared" si="16"/>
        <v>3</v>
      </c>
      <c r="S35" s="55">
        <f t="shared" si="9"/>
        <v>995.22748055800798</v>
      </c>
      <c r="T35" s="58">
        <f t="shared" si="17"/>
        <v>10570340.56824</v>
      </c>
      <c r="U35" s="58">
        <f t="shared" si="18"/>
        <v>197445.9841992</v>
      </c>
      <c r="V35" s="58">
        <f t="shared" si="19"/>
        <v>0</v>
      </c>
      <c r="W35" s="59">
        <f t="shared" si="20"/>
        <v>197445.9841992</v>
      </c>
    </row>
    <row r="36" spans="1:23" x14ac:dyDescent="0.25">
      <c r="A36" s="44">
        <v>4</v>
      </c>
      <c r="B36" s="48">
        <f>Input!D21</f>
        <v>1.4999999999999999E-2</v>
      </c>
      <c r="C36" s="56">
        <f t="shared" si="10"/>
        <v>0.95631699374102508</v>
      </c>
      <c r="D36" s="56">
        <f t="shared" si="11"/>
        <v>0.94218423028672427</v>
      </c>
      <c r="E36" s="29">
        <f>H17*Input!B21</f>
        <v>10549411.293914884</v>
      </c>
      <c r="F36" s="29">
        <f t="shared" si="12"/>
        <v>10088581.2943343</v>
      </c>
      <c r="G36" s="29">
        <v>0</v>
      </c>
      <c r="H36" s="29">
        <f t="shared" si="13"/>
        <v>0</v>
      </c>
      <c r="I36" s="29">
        <f t="shared" si="14"/>
        <v>226911.86556722579</v>
      </c>
      <c r="J36" s="29">
        <v>0</v>
      </c>
      <c r="K36" s="29">
        <f t="shared" si="8"/>
        <v>226911.86556722579</v>
      </c>
      <c r="L36" s="29">
        <f t="shared" si="15"/>
        <v>213792.78140238128</v>
      </c>
      <c r="R36" s="39">
        <f t="shared" si="16"/>
        <v>4</v>
      </c>
      <c r="S36" s="55">
        <f t="shared" si="9"/>
        <v>992.9583619023357</v>
      </c>
      <c r="T36" s="58">
        <f t="shared" si="17"/>
        <v>10549411.293914884</v>
      </c>
      <c r="U36" s="58">
        <f t="shared" si="18"/>
        <v>226911.86556722579</v>
      </c>
      <c r="V36" s="58">
        <f t="shared" si="19"/>
        <v>0</v>
      </c>
      <c r="W36" s="59">
        <f t="shared" si="20"/>
        <v>226911.86556722579</v>
      </c>
    </row>
    <row r="37" spans="1:23" x14ac:dyDescent="0.25">
      <c r="A37" s="44">
        <v>5</v>
      </c>
      <c r="B37" s="48">
        <f>Input!D22</f>
        <v>1.4999999999999999E-2</v>
      </c>
      <c r="C37" s="56">
        <f t="shared" si="10"/>
        <v>0.94218423028672427</v>
      </c>
      <c r="D37" s="56">
        <f t="shared" si="11"/>
        <v>0.92826032540563974</v>
      </c>
      <c r="E37" s="29">
        <f>H18*Input!B22</f>
        <v>10525358.636164758</v>
      </c>
      <c r="F37" s="29">
        <f t="shared" si="12"/>
        <v>9916826.9251066186</v>
      </c>
      <c r="G37" s="29">
        <v>0</v>
      </c>
      <c r="H37" s="29">
        <f t="shared" si="13"/>
        <v>0</v>
      </c>
      <c r="I37" s="29">
        <f t="shared" si="14"/>
        <v>254197.34064699797</v>
      </c>
      <c r="J37" s="29">
        <v>0</v>
      </c>
      <c r="K37" s="29">
        <f t="shared" si="8"/>
        <v>254197.34064699797</v>
      </c>
      <c r="L37" s="29">
        <f t="shared" si="15"/>
        <v>235961.30614623058</v>
      </c>
      <c r="R37" s="39">
        <f t="shared" si="16"/>
        <v>5</v>
      </c>
      <c r="S37" s="55">
        <f t="shared" si="9"/>
        <v>990.4163884958657</v>
      </c>
      <c r="T37" s="58">
        <f t="shared" si="17"/>
        <v>10525358.636164758</v>
      </c>
      <c r="U37" s="58">
        <f t="shared" si="18"/>
        <v>254197.34064699797</v>
      </c>
      <c r="V37" s="58">
        <f t="shared" si="19"/>
        <v>0</v>
      </c>
      <c r="W37" s="59">
        <f t="shared" si="20"/>
        <v>254197.34064699797</v>
      </c>
    </row>
    <row r="38" spans="1:23" x14ac:dyDescent="0.25">
      <c r="A38" s="44">
        <v>6</v>
      </c>
      <c r="B38" s="48">
        <f>Input!D23</f>
        <v>1.4999999999999999E-2</v>
      </c>
      <c r="C38" s="56">
        <f t="shared" si="10"/>
        <v>0.92826032540563974</v>
      </c>
      <c r="D38" s="56">
        <f t="shared" si="11"/>
        <v>0.91454219251787172</v>
      </c>
      <c r="E38" s="29">
        <f>H19*Input!B23</f>
        <v>10498413.718056178</v>
      </c>
      <c r="F38" s="29">
        <f t="shared" si="12"/>
        <v>9745260.9341658596</v>
      </c>
      <c r="G38" s="29">
        <v>0</v>
      </c>
      <c r="H38" s="29">
        <f t="shared" si="13"/>
        <v>0</v>
      </c>
      <c r="I38" s="29">
        <f t="shared" si="14"/>
        <v>277316.58877884242</v>
      </c>
      <c r="J38" s="29">
        <v>0</v>
      </c>
      <c r="K38" s="29">
        <f t="shared" si="8"/>
        <v>277316.58877884242</v>
      </c>
      <c r="L38" s="29">
        <f t="shared" si="15"/>
        <v>253617.72112337957</v>
      </c>
      <c r="R38" s="39">
        <f t="shared" si="16"/>
        <v>6</v>
      </c>
      <c r="S38" s="55">
        <f t="shared" si="9"/>
        <v>987.64322260807728</v>
      </c>
      <c r="T38" s="58">
        <f t="shared" si="17"/>
        <v>10498413.718056178</v>
      </c>
      <c r="U38" s="58">
        <f t="shared" si="18"/>
        <v>277316.58877884242</v>
      </c>
      <c r="V38" s="58">
        <f t="shared" si="19"/>
        <v>0</v>
      </c>
      <c r="W38" s="59">
        <f t="shared" si="20"/>
        <v>277316.58877884242</v>
      </c>
    </row>
    <row r="39" spans="1:23" x14ac:dyDescent="0.25">
      <c r="A39" s="44">
        <v>7</v>
      </c>
      <c r="B39" s="48">
        <f>Input!D24</f>
        <v>1.4999999999999999E-2</v>
      </c>
      <c r="C39" s="56">
        <f t="shared" si="10"/>
        <v>0.91454219251787172</v>
      </c>
      <c r="D39" s="56">
        <f t="shared" si="11"/>
        <v>0.90102679065800173</v>
      </c>
      <c r="E39" s="29">
        <f>H20*Input!B24</f>
        <v>10469018.159645621</v>
      </c>
      <c r="F39" s="29">
        <f t="shared" si="12"/>
        <v>9574358.821231721</v>
      </c>
      <c r="G39" s="29">
        <v>0</v>
      </c>
      <c r="H39" s="29">
        <f t="shared" si="13"/>
        <v>0</v>
      </c>
      <c r="I39" s="29">
        <f t="shared" si="14"/>
        <v>312095.25834415248</v>
      </c>
      <c r="J39" s="29">
        <v>0</v>
      </c>
      <c r="K39" s="29">
        <f t="shared" si="8"/>
        <v>312095.25834415248</v>
      </c>
      <c r="L39" s="29">
        <f t="shared" si="15"/>
        <v>281206.18900541164</v>
      </c>
      <c r="R39" s="39">
        <f t="shared" si="16"/>
        <v>7</v>
      </c>
      <c r="S39" s="55">
        <f t="shared" si="9"/>
        <v>984.52227002463576</v>
      </c>
      <c r="T39" s="58">
        <f t="shared" si="17"/>
        <v>10469018.159645621</v>
      </c>
      <c r="U39" s="58">
        <f t="shared" si="18"/>
        <v>312095.25834415248</v>
      </c>
      <c r="V39" s="58">
        <f t="shared" si="19"/>
        <v>0</v>
      </c>
      <c r="W39" s="59">
        <f t="shared" si="20"/>
        <v>312095.25834415248</v>
      </c>
    </row>
    <row r="40" spans="1:23" x14ac:dyDescent="0.25">
      <c r="A40" s="44">
        <v>8</v>
      </c>
      <c r="B40" s="48">
        <f>Input!D25</f>
        <v>1.4999999999999999E-2</v>
      </c>
      <c r="C40" s="56">
        <f t="shared" si="10"/>
        <v>0.90102679065800173</v>
      </c>
      <c r="D40" s="56">
        <f t="shared" si="11"/>
        <v>0.88771112380098705</v>
      </c>
      <c r="E40" s="29">
        <f>H21*Input!B25</f>
        <v>10435936.06226114</v>
      </c>
      <c r="F40" s="29">
        <f t="shared" si="12"/>
        <v>9403057.9776912592</v>
      </c>
      <c r="G40" s="29">
        <v>0</v>
      </c>
      <c r="H40" s="29">
        <f t="shared" si="13"/>
        <v>0</v>
      </c>
      <c r="I40" s="29">
        <f t="shared" si="14"/>
        <v>350489.92812877032</v>
      </c>
      <c r="J40" s="29">
        <v>0</v>
      </c>
      <c r="K40" s="29">
        <f t="shared" si="8"/>
        <v>350489.92812877032</v>
      </c>
      <c r="L40" s="29">
        <f t="shared" si="15"/>
        <v>311133.80798011785</v>
      </c>
      <c r="R40" s="39">
        <f t="shared" si="16"/>
        <v>8</v>
      </c>
      <c r="S40" s="55">
        <f t="shared" si="9"/>
        <v>981.01737074334801</v>
      </c>
      <c r="T40" s="58">
        <f t="shared" si="17"/>
        <v>10435936.06226114</v>
      </c>
      <c r="U40" s="58">
        <f t="shared" si="18"/>
        <v>350489.92812877032</v>
      </c>
      <c r="V40" s="58">
        <f t="shared" si="19"/>
        <v>0</v>
      </c>
      <c r="W40" s="59">
        <f t="shared" si="20"/>
        <v>350489.92812877032</v>
      </c>
    </row>
    <row r="41" spans="1:23" x14ac:dyDescent="0.25">
      <c r="A41" s="44">
        <v>9</v>
      </c>
      <c r="B41" s="48">
        <f>Input!D26</f>
        <v>1.4999999999999999E-2</v>
      </c>
      <c r="C41" s="56">
        <f t="shared" si="10"/>
        <v>0.88771112380098705</v>
      </c>
      <c r="D41" s="56">
        <f t="shared" si="11"/>
        <v>0.87459224019801685</v>
      </c>
      <c r="E41" s="29">
        <f>H22*Input!B26</f>
        <v>10398784.12987949</v>
      </c>
      <c r="F41" s="29">
        <f t="shared" si="12"/>
        <v>9231116.3460991904</v>
      </c>
      <c r="G41" s="29">
        <v>0</v>
      </c>
      <c r="H41" s="29">
        <f t="shared" si="13"/>
        <v>0</v>
      </c>
      <c r="I41" s="29">
        <f t="shared" si="14"/>
        <v>394368.98303882591</v>
      </c>
      <c r="J41" s="29">
        <v>0</v>
      </c>
      <c r="K41" s="29">
        <f t="shared" si="8"/>
        <v>394368.98303882591</v>
      </c>
      <c r="L41" s="29">
        <f t="shared" si="15"/>
        <v>344912.05234054045</v>
      </c>
      <c r="R41" s="39">
        <f t="shared" si="16"/>
        <v>9</v>
      </c>
      <c r="S41" s="55">
        <f t="shared" si="9"/>
        <v>977.07368091295973</v>
      </c>
      <c r="T41" s="58">
        <f t="shared" si="17"/>
        <v>10398784.12987949</v>
      </c>
      <c r="U41" s="58">
        <f t="shared" si="18"/>
        <v>394368.98303882591</v>
      </c>
      <c r="V41" s="59">
        <f t="shared" si="19"/>
        <v>0</v>
      </c>
      <c r="W41" s="59">
        <f t="shared" si="20"/>
        <v>394368.98303882591</v>
      </c>
    </row>
    <row r="42" spans="1:23" x14ac:dyDescent="0.25">
      <c r="A42" s="44">
        <v>10</v>
      </c>
      <c r="B42" s="48">
        <f>Input!D27</f>
        <v>1.4999999999999999E-2</v>
      </c>
      <c r="C42" s="56">
        <f t="shared" si="10"/>
        <v>0.87459224019801685</v>
      </c>
      <c r="D42" s="56">
        <f t="shared" si="11"/>
        <v>0.86166723172218418</v>
      </c>
      <c r="E42" s="29">
        <f>H23*Input!B27</f>
        <v>10356981.017677374</v>
      </c>
      <c r="F42" s="29">
        <f t="shared" si="12"/>
        <v>9058135.2299387902</v>
      </c>
      <c r="G42" s="29">
        <v>0</v>
      </c>
      <c r="H42" s="29">
        <f t="shared" si="13"/>
        <v>0</v>
      </c>
      <c r="I42" s="29">
        <f t="shared" si="14"/>
        <v>437729.00904900592</v>
      </c>
      <c r="J42" s="29">
        <f>G24*Input!P27</f>
        <v>97748799.865903407</v>
      </c>
      <c r="K42" s="29">
        <f t="shared" si="8"/>
        <v>98186528.874952421</v>
      </c>
      <c r="L42" s="29">
        <f t="shared" si="15"/>
        <v>84604114.528090551</v>
      </c>
      <c r="R42" s="39">
        <f t="shared" si="16"/>
        <v>10</v>
      </c>
      <c r="S42" s="55">
        <f t="shared" si="9"/>
        <v>0</v>
      </c>
      <c r="T42" s="58">
        <f t="shared" si="17"/>
        <v>10356981.017677374</v>
      </c>
      <c r="U42" s="58">
        <f t="shared" si="18"/>
        <v>437729.00904900592</v>
      </c>
      <c r="V42" s="59">
        <f t="shared" si="19"/>
        <v>97748799.865903407</v>
      </c>
      <c r="W42" s="59">
        <f t="shared" si="20"/>
        <v>98186528.874952421</v>
      </c>
    </row>
    <row r="43" spans="1:23" x14ac:dyDescent="0.25">
      <c r="B43" s="52"/>
      <c r="C43" s="52"/>
      <c r="D43" s="52"/>
      <c r="F43" s="29"/>
      <c r="G43" s="52"/>
      <c r="H43" s="52"/>
      <c r="R43" s="60" t="s">
        <v>139</v>
      </c>
      <c r="S43" s="61"/>
      <c r="T43" s="59">
        <f>NPV($B$33,T32:T42)*(1+$B$33)</f>
        <v>98307753.921336323</v>
      </c>
      <c r="U43" s="39"/>
      <c r="V43" s="39"/>
      <c r="W43" s="59">
        <f>NPV($B$33,W32:W42)</f>
        <v>86706990.829244703</v>
      </c>
    </row>
    <row r="44" spans="1:23" x14ac:dyDescent="0.25">
      <c r="A44" s="26" t="s">
        <v>75</v>
      </c>
      <c r="B44" s="52"/>
      <c r="C44" s="52"/>
      <c r="D44" s="52"/>
      <c r="F44" s="29">
        <f>SUM(F33:F43)</f>
        <v>98307753.921336308</v>
      </c>
      <c r="G44" s="52"/>
      <c r="H44" s="29">
        <f>SUM(H33:H43)</f>
        <v>0</v>
      </c>
      <c r="L44" s="62">
        <f>SUM(L33:L43)</f>
        <v>86706990.829244658</v>
      </c>
      <c r="N44" s="62"/>
    </row>
    <row r="45" spans="1:23" x14ac:dyDescent="0.25">
      <c r="A45" s="20" t="s">
        <v>76</v>
      </c>
      <c r="B45" s="52"/>
      <c r="C45" s="52"/>
      <c r="D45" s="52"/>
      <c r="G45" s="52"/>
      <c r="H45" s="41">
        <f>H44/F44</f>
        <v>0</v>
      </c>
      <c r="I45" s="52"/>
      <c r="J45" s="52"/>
      <c r="L45" s="41">
        <f>L44/F44</f>
        <v>0.88199544156634557</v>
      </c>
    </row>
    <row r="46" spans="1:23" x14ac:dyDescent="0.25">
      <c r="B46" s="52"/>
      <c r="C46" s="52"/>
      <c r="D46" s="52"/>
      <c r="E46" s="52"/>
      <c r="F46" s="52"/>
      <c r="G46" s="52"/>
      <c r="H46" s="52"/>
      <c r="R46" s="20" t="s">
        <v>159</v>
      </c>
    </row>
    <row r="47" spans="1:23" x14ac:dyDescent="0.25">
      <c r="A47" s="20" t="s">
        <v>77</v>
      </c>
      <c r="B47" s="52"/>
      <c r="C47" s="52"/>
      <c r="D47" s="52"/>
      <c r="E47" s="52"/>
      <c r="F47" s="63">
        <f>H45+L45</f>
        <v>0.88199544156634557</v>
      </c>
      <c r="G47" s="52"/>
      <c r="H47" s="52"/>
      <c r="R47" s="30" t="s">
        <v>0</v>
      </c>
      <c r="S47" s="30" t="s">
        <v>144</v>
      </c>
      <c r="T47" s="30" t="s">
        <v>144</v>
      </c>
      <c r="U47" s="30" t="s">
        <v>64</v>
      </c>
      <c r="V47" s="30" t="s">
        <v>60</v>
      </c>
      <c r="W47" s="30" t="s">
        <v>18</v>
      </c>
    </row>
    <row r="48" spans="1:23" x14ac:dyDescent="0.25">
      <c r="B48" s="52"/>
      <c r="C48" s="52"/>
      <c r="D48" s="52"/>
      <c r="E48" s="52"/>
      <c r="F48" s="52"/>
      <c r="G48" s="52"/>
      <c r="H48" s="52"/>
      <c r="R48" s="36" t="s">
        <v>1</v>
      </c>
      <c r="S48" s="36" t="s">
        <v>145</v>
      </c>
      <c r="T48" s="36" t="s">
        <v>146</v>
      </c>
      <c r="U48" s="36" t="s">
        <v>138</v>
      </c>
      <c r="V48" s="36" t="s">
        <v>111</v>
      </c>
      <c r="W48" s="36" t="s">
        <v>147</v>
      </c>
    </row>
    <row r="49" spans="1:23" x14ac:dyDescent="0.25">
      <c r="A49" s="3" t="s">
        <v>129</v>
      </c>
      <c r="B49" s="52"/>
      <c r="C49" s="52"/>
      <c r="D49" s="52"/>
      <c r="E49" s="52"/>
      <c r="F49" s="52"/>
      <c r="G49" s="52"/>
      <c r="H49" s="52"/>
      <c r="J49" s="3" t="s">
        <v>130</v>
      </c>
      <c r="R49" s="39">
        <f>J14</f>
        <v>0</v>
      </c>
      <c r="S49" s="39"/>
      <c r="T49" s="39"/>
      <c r="U49" s="71">
        <f>Q14</f>
        <v>100000</v>
      </c>
      <c r="V49" s="72">
        <f>H54</f>
        <v>0</v>
      </c>
      <c r="W49" s="59">
        <f>U49*V49</f>
        <v>0</v>
      </c>
    </row>
    <row r="50" spans="1:23" x14ac:dyDescent="0.25">
      <c r="B50" s="52"/>
      <c r="C50" s="52"/>
      <c r="D50" s="52"/>
      <c r="E50" s="52"/>
      <c r="F50" s="52"/>
      <c r="G50" s="52"/>
      <c r="H50" s="52"/>
      <c r="R50" s="39">
        <f t="shared" ref="R50:R58" si="21">J15</f>
        <v>1</v>
      </c>
      <c r="S50" s="71">
        <f>O15</f>
        <v>63</v>
      </c>
      <c r="T50" s="71">
        <f>P15</f>
        <v>4996.8500000000004</v>
      </c>
      <c r="U50" s="71">
        <f>U49-T50-S50</f>
        <v>94940.15</v>
      </c>
      <c r="V50" s="72">
        <f t="shared" ref="V50:V59" si="22">H55</f>
        <v>93.752017099668706</v>
      </c>
      <c r="W50" s="59">
        <f t="shared" ref="W50:W59" si="23">U50*V50</f>
        <v>8900830.5662451107</v>
      </c>
    </row>
    <row r="51" spans="1:23" x14ac:dyDescent="0.25">
      <c r="A51" s="20" t="s">
        <v>158</v>
      </c>
      <c r="C51" s="44"/>
      <c r="D51" s="44"/>
      <c r="G51" s="44"/>
      <c r="H51" s="44"/>
      <c r="J51" s="44" t="s">
        <v>131</v>
      </c>
      <c r="K51" s="44" t="s">
        <v>131</v>
      </c>
      <c r="R51" s="39">
        <f t="shared" si="21"/>
        <v>2</v>
      </c>
      <c r="S51" s="71">
        <f t="shared" ref="S51:S59" si="24">O16</f>
        <v>73.103915499999999</v>
      </c>
      <c r="T51" s="71">
        <f t="shared" ref="T51:T59" si="25">P16</f>
        <v>4743.3523042249999</v>
      </c>
      <c r="U51" s="71">
        <f t="shared" ref="U51:U59" si="26">U50-T51-S51</f>
        <v>90123.693780274989</v>
      </c>
      <c r="V51" s="72">
        <f t="shared" si="22"/>
        <v>188.80294344719553</v>
      </c>
      <c r="W51" s="59">
        <f t="shared" si="23"/>
        <v>17015618.660049625</v>
      </c>
    </row>
    <row r="52" spans="1:23" x14ac:dyDescent="0.25">
      <c r="A52" s="30" t="s">
        <v>0</v>
      </c>
      <c r="B52" s="30" t="s">
        <v>44</v>
      </c>
      <c r="C52" s="30" t="s">
        <v>79</v>
      </c>
      <c r="D52" s="30" t="s">
        <v>42</v>
      </c>
      <c r="E52" s="27" t="s">
        <v>9</v>
      </c>
      <c r="F52" s="30" t="s">
        <v>60</v>
      </c>
      <c r="G52" s="44"/>
      <c r="H52" s="31" t="s">
        <v>60</v>
      </c>
      <c r="I52" s="44"/>
      <c r="J52" s="44" t="s">
        <v>132</v>
      </c>
      <c r="K52" s="44" t="s">
        <v>132</v>
      </c>
      <c r="L52" s="44" t="s">
        <v>133</v>
      </c>
      <c r="R52" s="39">
        <f t="shared" si="21"/>
        <v>3</v>
      </c>
      <c r="S52" s="71">
        <f t="shared" si="24"/>
        <v>89.222456842472241</v>
      </c>
      <c r="T52" s="71">
        <f t="shared" si="25"/>
        <v>4501.7235661716268</v>
      </c>
      <c r="U52" s="71">
        <f t="shared" si="26"/>
        <v>85532.747757260891</v>
      </c>
      <c r="V52" s="72">
        <f t="shared" si="22"/>
        <v>285.11340169237752</v>
      </c>
      <c r="W52" s="59">
        <f t="shared" si="23"/>
        <v>24386532.669168726</v>
      </c>
    </row>
    <row r="53" spans="1:23" x14ac:dyDescent="0.25">
      <c r="A53" s="33" t="s">
        <v>1</v>
      </c>
      <c r="B53" s="33" t="s">
        <v>4</v>
      </c>
      <c r="C53" s="33" t="s">
        <v>62</v>
      </c>
      <c r="D53" s="33" t="s">
        <v>143</v>
      </c>
      <c r="E53" s="27" t="s">
        <v>36</v>
      </c>
      <c r="F53" s="33" t="s">
        <v>138</v>
      </c>
      <c r="G53" s="44"/>
      <c r="H53" s="34" t="s">
        <v>111</v>
      </c>
      <c r="I53" s="2"/>
      <c r="J53" s="2" t="s">
        <v>78</v>
      </c>
      <c r="K53" s="2" t="s">
        <v>42</v>
      </c>
      <c r="L53" s="2" t="s">
        <v>60</v>
      </c>
      <c r="R53" s="39">
        <f t="shared" si="21"/>
        <v>4</v>
      </c>
      <c r="S53" s="71">
        <f t="shared" si="24"/>
        <v>97.50733244327742</v>
      </c>
      <c r="T53" s="71">
        <f t="shared" si="25"/>
        <v>4271.762021240881</v>
      </c>
      <c r="U53" s="71">
        <f t="shared" si="26"/>
        <v>81163.478403576737</v>
      </c>
      <c r="V53" s="72">
        <f t="shared" si="22"/>
        <v>382.87695172582119</v>
      </c>
      <c r="W53" s="59">
        <f t="shared" si="23"/>
        <v>31075625.202625982</v>
      </c>
    </row>
    <row r="54" spans="1:23" x14ac:dyDescent="0.25">
      <c r="A54" s="73">
        <v>0</v>
      </c>
      <c r="B54" s="39"/>
      <c r="C54" s="39"/>
      <c r="D54" s="39"/>
      <c r="E54" s="39"/>
      <c r="F54" s="59">
        <v>0</v>
      </c>
      <c r="G54" s="39"/>
      <c r="H54" s="72">
        <f>F54/H14</f>
        <v>0</v>
      </c>
      <c r="J54" s="29">
        <f>NPV($B$33,B55:B$65)*(1+$B$33)</f>
        <v>86706990.829244703</v>
      </c>
      <c r="K54" s="29">
        <f>-NPV($B$33,D55:D$65)</f>
        <v>86706990.829244703</v>
      </c>
      <c r="L54" s="62">
        <f>K54-J54</f>
        <v>0</v>
      </c>
      <c r="R54" s="39">
        <f t="shared" si="21"/>
        <v>5</v>
      </c>
      <c r="S54" s="71">
        <f t="shared" si="24"/>
        <v>103.88925235657823</v>
      </c>
      <c r="T54" s="71">
        <f t="shared" si="25"/>
        <v>4052.9794575610085</v>
      </c>
      <c r="U54" s="71">
        <f t="shared" si="26"/>
        <v>77006.609693659149</v>
      </c>
      <c r="V54" s="72">
        <f t="shared" si="22"/>
        <v>482.18839785834894</v>
      </c>
      <c r="W54" s="59">
        <f t="shared" si="23"/>
        <v>37131693.752688706</v>
      </c>
    </row>
    <row r="55" spans="1:23" x14ac:dyDescent="0.25">
      <c r="A55" s="73">
        <v>1</v>
      </c>
      <c r="B55" s="59">
        <f>F$47*E33</f>
        <v>9349151.6806032639</v>
      </c>
      <c r="C55" s="59">
        <f>B33*(F54+B55+E55)</f>
        <v>140237.27520904897</v>
      </c>
      <c r="D55" s="59">
        <f>-K33</f>
        <v>-126000</v>
      </c>
      <c r="E55" s="59">
        <f>-G33</f>
        <v>0</v>
      </c>
      <c r="F55" s="59">
        <f>F54+SUM(B55:E55)</f>
        <v>9363388.9558123127</v>
      </c>
      <c r="G55" s="59"/>
      <c r="H55" s="72">
        <f t="shared" ref="H55:H63" si="27">F55/H15</f>
        <v>93.752017099668706</v>
      </c>
      <c r="I55" s="29"/>
      <c r="J55" s="29">
        <f>NPV($B$33,B56:B$65)*(1+$B$33)</f>
        <v>78518206.735871017</v>
      </c>
      <c r="K55" s="29">
        <f>-NPV($B$33,D56:D$65)</f>
        <v>87881595.691683367</v>
      </c>
      <c r="L55" s="62">
        <f t="shared" ref="L55:L64" si="28">K55-J55</f>
        <v>9363388.9558123499</v>
      </c>
      <c r="R55" s="39">
        <f t="shared" si="21"/>
        <v>6</v>
      </c>
      <c r="S55" s="71">
        <f t="shared" si="24"/>
        <v>107.80925357112281</v>
      </c>
      <c r="T55" s="71">
        <f t="shared" si="25"/>
        <v>3844.9400220044017</v>
      </c>
      <c r="U55" s="71">
        <f t="shared" si="26"/>
        <v>73053.860418083626</v>
      </c>
      <c r="V55" s="72">
        <f t="shared" si="22"/>
        <v>583.1479275815758</v>
      </c>
      <c r="W55" s="59">
        <f t="shared" si="23"/>
        <v>42601207.304639176</v>
      </c>
    </row>
    <row r="56" spans="1:23" x14ac:dyDescent="0.25">
      <c r="A56" s="73">
        <v>2</v>
      </c>
      <c r="B56" s="59">
        <f t="shared" ref="B56:B64" si="29">F$47*E34</f>
        <v>9337371.7494857032</v>
      </c>
      <c r="C56" s="59">
        <f t="shared" ref="C56:C64" si="30">B34*(F55+B56+E56)</f>
        <v>280511.41057947022</v>
      </c>
      <c r="D56" s="59">
        <f t="shared" ref="D56:D64" si="31">-K34</f>
        <v>-153805.96</v>
      </c>
      <c r="E56" s="59">
        <f t="shared" ref="E56:E64" si="32">-G34</f>
        <v>0</v>
      </c>
      <c r="F56" s="59">
        <f t="shared" ref="F56:F64" si="33">F55+SUM(B56:E56)</f>
        <v>18827466.155877486</v>
      </c>
      <c r="G56" s="59"/>
      <c r="H56" s="72">
        <f t="shared" si="27"/>
        <v>188.80294344719553</v>
      </c>
      <c r="I56" s="29"/>
      <c r="J56" s="29">
        <f>NPV($B$33,B57:B$65)*(1+$B$33)</f>
        <v>70218547.511181086</v>
      </c>
      <c r="K56" s="29">
        <f>-NPV($B$33,D57:D$65)</f>
        <v>89046013.667058602</v>
      </c>
      <c r="L56" s="62">
        <f t="shared" si="28"/>
        <v>18827466.155877516</v>
      </c>
      <c r="R56" s="39">
        <f t="shared" si="21"/>
        <v>7</v>
      </c>
      <c r="S56" s="71">
        <f t="shared" si="24"/>
        <v>115.42509946057213</v>
      </c>
      <c r="T56" s="71">
        <f t="shared" si="25"/>
        <v>3646.921765931153</v>
      </c>
      <c r="U56" s="71">
        <f t="shared" si="26"/>
        <v>69291.513552691904</v>
      </c>
      <c r="V56" s="72">
        <f t="shared" si="22"/>
        <v>685.79615189340575</v>
      </c>
      <c r="W56" s="59">
        <f t="shared" si="23"/>
        <v>47519853.353305876</v>
      </c>
    </row>
    <row r="57" spans="1:23" x14ac:dyDescent="0.25">
      <c r="A57" s="73">
        <v>3</v>
      </c>
      <c r="B57" s="59">
        <f t="shared" si="29"/>
        <v>9322992.1969914958</v>
      </c>
      <c r="C57" s="59">
        <f t="shared" si="30"/>
        <v>422256.87529303471</v>
      </c>
      <c r="D57" s="59">
        <f t="shared" si="31"/>
        <v>-197445.9841992</v>
      </c>
      <c r="E57" s="59">
        <f t="shared" si="32"/>
        <v>0</v>
      </c>
      <c r="F57" s="59">
        <f t="shared" si="33"/>
        <v>28375269.243962817</v>
      </c>
      <c r="G57" s="59"/>
      <c r="H57" s="72">
        <f t="shared" si="27"/>
        <v>285.11340169237752</v>
      </c>
      <c r="I57" s="29"/>
      <c r="J57" s="29">
        <f>NPV($B$33,B58:B$65)*(1+$B$33)</f>
        <v>61808988.643902443</v>
      </c>
      <c r="K57" s="29">
        <f>-NPV($B$33,D58:D$65)</f>
        <v>90184257.887865275</v>
      </c>
      <c r="L57" s="62">
        <f t="shared" si="28"/>
        <v>28375269.243962832</v>
      </c>
      <c r="R57" s="39">
        <f t="shared" si="21"/>
        <v>8</v>
      </c>
      <c r="S57" s="71">
        <f t="shared" si="24"/>
        <v>123.33889412379158</v>
      </c>
      <c r="T57" s="71">
        <f t="shared" si="25"/>
        <v>3458.4087329284062</v>
      </c>
      <c r="U57" s="71">
        <f t="shared" si="26"/>
        <v>65709.765925639702</v>
      </c>
      <c r="V57" s="72">
        <f t="shared" si="22"/>
        <v>790.2302032535124</v>
      </c>
      <c r="W57" s="59">
        <f t="shared" si="23"/>
        <v>51925841.683158986</v>
      </c>
    </row>
    <row r="58" spans="1:23" x14ac:dyDescent="0.25">
      <c r="A58" s="73">
        <v>4</v>
      </c>
      <c r="B58" s="59">
        <f t="shared" si="29"/>
        <v>9304532.6724414509</v>
      </c>
      <c r="C58" s="59">
        <f t="shared" si="30"/>
        <v>565197.02874606405</v>
      </c>
      <c r="D58" s="59">
        <f t="shared" si="31"/>
        <v>-226911.86556722579</v>
      </c>
      <c r="E58" s="59">
        <f t="shared" si="32"/>
        <v>0</v>
      </c>
      <c r="F58" s="59">
        <f t="shared" si="33"/>
        <v>38018087.079583108</v>
      </c>
      <c r="G58" s="59"/>
      <c r="H58" s="72">
        <f t="shared" si="27"/>
        <v>382.87695172582119</v>
      </c>
      <c r="I58" s="29"/>
      <c r="J58" s="29">
        <f>NPV($B$33,B59:B$65)*(1+$B$33)</f>
        <v>53292022.811032891</v>
      </c>
      <c r="K58" s="29">
        <f>-NPV($B$33,D59:D$65)</f>
        <v>91310109.89061603</v>
      </c>
      <c r="L58" s="62">
        <f t="shared" si="28"/>
        <v>38018087.079583138</v>
      </c>
      <c r="R58" s="39">
        <f t="shared" si="21"/>
        <v>9</v>
      </c>
      <c r="S58" s="71">
        <f t="shared" si="24"/>
        <v>132.07662951053581</v>
      </c>
      <c r="T58" s="71">
        <f t="shared" si="25"/>
        <v>3278.8844648064583</v>
      </c>
      <c r="U58" s="71">
        <f t="shared" si="26"/>
        <v>62298.804831322712</v>
      </c>
      <c r="V58" s="72">
        <f t="shared" si="22"/>
        <v>896.56172399088166</v>
      </c>
      <c r="W58" s="59">
        <f t="shared" si="23"/>
        <v>55854723.862142161</v>
      </c>
    </row>
    <row r="59" spans="1:23" x14ac:dyDescent="0.25">
      <c r="A59" s="73">
        <v>5</v>
      </c>
      <c r="B59" s="59">
        <f t="shared" si="29"/>
        <v>9283318.337948285</v>
      </c>
      <c r="C59" s="59">
        <f t="shared" si="30"/>
        <v>709521.08126297093</v>
      </c>
      <c r="D59" s="59">
        <f t="shared" si="31"/>
        <v>-254197.34064699797</v>
      </c>
      <c r="E59" s="59">
        <f t="shared" si="32"/>
        <v>0</v>
      </c>
      <c r="F59" s="59">
        <f t="shared" si="33"/>
        <v>47756729.158147365</v>
      </c>
      <c r="G59" s="59"/>
      <c r="H59" s="72">
        <f t="shared" si="27"/>
        <v>482.18839785834894</v>
      </c>
      <c r="I59" s="29"/>
      <c r="J59" s="29">
        <f>NPV($B$33,B60:B$65)*(1+$B$33)</f>
        <v>44668835.040180877</v>
      </c>
      <c r="K59" s="29">
        <f>-NPV($B$33,D60:D$65)</f>
        <v>92425564.198328242</v>
      </c>
      <c r="L59" s="62">
        <f t="shared" si="28"/>
        <v>47756729.158147365</v>
      </c>
      <c r="R59" s="39">
        <f>J24</f>
        <v>10</v>
      </c>
      <c r="S59" s="71">
        <f t="shared" si="24"/>
        <v>139.54932282216285</v>
      </c>
      <c r="T59" s="71">
        <f t="shared" si="25"/>
        <v>62159.255508500544</v>
      </c>
      <c r="U59" s="71">
        <f t="shared" si="26"/>
        <v>4.7464254748774692E-12</v>
      </c>
      <c r="V59" s="72">
        <f t="shared" si="22"/>
        <v>0</v>
      </c>
      <c r="W59" s="59">
        <f t="shared" si="23"/>
        <v>0</v>
      </c>
    </row>
    <row r="60" spans="1:23" x14ac:dyDescent="0.25">
      <c r="A60" s="73">
        <v>6</v>
      </c>
      <c r="B60" s="59">
        <f t="shared" si="29"/>
        <v>9259553.0430031382</v>
      </c>
      <c r="C60" s="59">
        <f t="shared" si="30"/>
        <v>855244.23301725753</v>
      </c>
      <c r="D60" s="59">
        <f t="shared" si="31"/>
        <v>-277316.58877884242</v>
      </c>
      <c r="E60" s="59">
        <f t="shared" si="32"/>
        <v>0</v>
      </c>
      <c r="F60" s="59">
        <f t="shared" si="33"/>
        <v>57594209.845388919</v>
      </c>
      <c r="G60" s="59"/>
      <c r="H60" s="72">
        <f t="shared" si="27"/>
        <v>583.1479275815758</v>
      </c>
      <c r="I60" s="29"/>
      <c r="J60" s="29">
        <f>NPV($B$33,B61:B$65)*(1+$B$33)</f>
        <v>35940421.22713539</v>
      </c>
      <c r="K60" s="29">
        <f>-NPV($B$33,D61:D$65)</f>
        <v>93534631.072524309</v>
      </c>
      <c r="L60" s="62">
        <f t="shared" si="28"/>
        <v>57594209.845388919</v>
      </c>
    </row>
    <row r="61" spans="1:23" x14ac:dyDescent="0.25">
      <c r="A61" s="73">
        <v>7</v>
      </c>
      <c r="B61" s="59">
        <f t="shared" si="29"/>
        <v>9233626.2944827303</v>
      </c>
      <c r="C61" s="59">
        <f t="shared" si="30"/>
        <v>1002417.5420980747</v>
      </c>
      <c r="D61" s="59">
        <f t="shared" si="31"/>
        <v>-312095.25834415248</v>
      </c>
      <c r="E61" s="59">
        <f t="shared" si="32"/>
        <v>0</v>
      </c>
      <c r="F61" s="59">
        <f t="shared" si="33"/>
        <v>67518158.423625574</v>
      </c>
      <c r="G61" s="59"/>
      <c r="H61" s="72">
        <f t="shared" si="27"/>
        <v>685.79615189340575</v>
      </c>
      <c r="I61" s="29"/>
      <c r="J61" s="29">
        <f>NPV($B$33,B62:B$65)*(1+$B$33)</f>
        <v>27107396.856642447</v>
      </c>
      <c r="K61" s="29">
        <f>-NPV($B$33,D62:D$65)</f>
        <v>94625555.280268013</v>
      </c>
      <c r="L61" s="62">
        <f t="shared" si="28"/>
        <v>67518158.423625559</v>
      </c>
    </row>
    <row r="62" spans="1:23" x14ac:dyDescent="0.25">
      <c r="A62" s="73">
        <v>8</v>
      </c>
      <c r="B62" s="59">
        <f t="shared" si="29"/>
        <v>9204448.0353921633</v>
      </c>
      <c r="C62" s="59">
        <f t="shared" si="30"/>
        <v>1150839.096885266</v>
      </c>
      <c r="D62" s="59">
        <f t="shared" si="31"/>
        <v>-350489.92812877032</v>
      </c>
      <c r="E62" s="59">
        <f t="shared" si="32"/>
        <v>0</v>
      </c>
      <c r="F62" s="59">
        <f t="shared" si="33"/>
        <v>77522955.627774239</v>
      </c>
      <c r="G62" s="59"/>
      <c r="H62" s="72">
        <f t="shared" si="27"/>
        <v>790.2302032535124</v>
      </c>
      <c r="I62" s="29"/>
      <c r="J62" s="29">
        <f>NPV($B$33,B63:B$65)*(1+$B$33)</f>
        <v>18171493.053569041</v>
      </c>
      <c r="K62" s="29">
        <f>-NPV($B$33,D63:D$65)</f>
        <v>95694448.681343257</v>
      </c>
      <c r="L62" s="62">
        <f t="shared" si="28"/>
        <v>77522955.627774209</v>
      </c>
    </row>
    <row r="63" spans="1:23" x14ac:dyDescent="0.25">
      <c r="A63" s="73">
        <v>9</v>
      </c>
      <c r="B63" s="59">
        <f t="shared" si="29"/>
        <v>9171680.2003861666</v>
      </c>
      <c r="C63" s="59">
        <f t="shared" si="30"/>
        <v>1300419.537422406</v>
      </c>
      <c r="D63" s="59">
        <f t="shared" si="31"/>
        <v>-394368.98303882591</v>
      </c>
      <c r="E63" s="59">
        <f t="shared" si="32"/>
        <v>0</v>
      </c>
      <c r="F63" s="59">
        <f t="shared" si="33"/>
        <v>87600686.382543981</v>
      </c>
      <c r="G63" s="59"/>
      <c r="H63" s="72">
        <f t="shared" si="27"/>
        <v>896.56172399088166</v>
      </c>
      <c r="I63" s="29"/>
      <c r="J63" s="29">
        <f>NPV($B$33,B64:B$65)*(1+$B$33)</f>
        <v>9134810.0459806155</v>
      </c>
      <c r="K63" s="29">
        <f>-NPV($B$33,D64:D$65)</f>
        <v>96735496.428524569</v>
      </c>
      <c r="L63" s="62">
        <f t="shared" si="28"/>
        <v>87600686.382543951</v>
      </c>
    </row>
    <row r="64" spans="1:23" x14ac:dyDescent="0.25">
      <c r="A64" s="73">
        <v>10</v>
      </c>
      <c r="B64" s="59">
        <f t="shared" si="29"/>
        <v>9134810.0459806155</v>
      </c>
      <c r="C64" s="59">
        <f t="shared" si="30"/>
        <v>1451032.4464278689</v>
      </c>
      <c r="D64" s="59">
        <f t="shared" si="31"/>
        <v>-98186528.874952421</v>
      </c>
      <c r="E64" s="59">
        <f t="shared" si="32"/>
        <v>0</v>
      </c>
      <c r="F64" s="59">
        <f t="shared" si="33"/>
        <v>0</v>
      </c>
      <c r="G64" s="59"/>
      <c r="H64" s="39"/>
      <c r="I64" s="29"/>
      <c r="J64" s="29">
        <f>NPV($B$33,B65:B$65)*(1+$B$33)</f>
        <v>0</v>
      </c>
      <c r="K64" s="29">
        <f>-NPV($B$33,D65:D$65)</f>
        <v>0</v>
      </c>
      <c r="L64" s="62">
        <f t="shared" si="28"/>
        <v>0</v>
      </c>
    </row>
    <row r="65" spans="1:12" x14ac:dyDescent="0.25">
      <c r="A65" s="44"/>
      <c r="B65" s="29"/>
      <c r="C65" s="45"/>
      <c r="D65" s="29"/>
      <c r="E65" s="29"/>
      <c r="F65" s="29"/>
      <c r="G65" s="29"/>
      <c r="H65" s="29"/>
      <c r="I65" s="29"/>
      <c r="J65" s="29"/>
      <c r="K65" s="29"/>
      <c r="L65" s="29"/>
    </row>
    <row r="66" spans="1:12" x14ac:dyDescent="0.25">
      <c r="A66" s="3" t="s">
        <v>116</v>
      </c>
      <c r="B66" s="29"/>
      <c r="C66" s="45"/>
      <c r="D66" s="29"/>
      <c r="E66" s="29"/>
      <c r="F66" s="29"/>
      <c r="G66" s="29"/>
      <c r="H66" s="29"/>
      <c r="I66" s="29"/>
      <c r="J66" s="29"/>
      <c r="K66" s="29"/>
      <c r="L66" s="29"/>
    </row>
    <row r="67" spans="1:12" x14ac:dyDescent="0.25">
      <c r="A67" s="3"/>
      <c r="B67" s="29"/>
      <c r="C67" s="45"/>
      <c r="D67" s="29"/>
      <c r="E67" s="29"/>
      <c r="F67" s="29"/>
      <c r="G67" s="29"/>
      <c r="H67" s="29"/>
      <c r="I67" s="29"/>
      <c r="J67" s="29"/>
      <c r="K67" s="29"/>
      <c r="L67" s="29"/>
    </row>
    <row r="68" spans="1:12" x14ac:dyDescent="0.25">
      <c r="A68" s="44"/>
      <c r="B68" s="44" t="s">
        <v>117</v>
      </c>
      <c r="C68" s="44" t="s">
        <v>118</v>
      </c>
      <c r="D68" s="44" t="s">
        <v>119</v>
      </c>
      <c r="E68" s="44" t="s">
        <v>117</v>
      </c>
      <c r="F68" s="29"/>
      <c r="G68" s="29"/>
      <c r="H68" s="29"/>
      <c r="I68" s="29"/>
      <c r="J68" s="29"/>
      <c r="K68" s="29"/>
      <c r="L68" s="29"/>
    </row>
    <row r="69" spans="1:12" x14ac:dyDescent="0.25">
      <c r="A69" s="44" t="s">
        <v>122</v>
      </c>
      <c r="B69" s="44" t="s">
        <v>60</v>
      </c>
      <c r="C69" s="44" t="s">
        <v>60</v>
      </c>
      <c r="D69" s="44" t="s">
        <v>120</v>
      </c>
      <c r="E69" s="44" t="s">
        <v>120</v>
      </c>
      <c r="F69" s="29"/>
      <c r="G69" s="29"/>
      <c r="H69" s="29"/>
      <c r="I69" s="29"/>
      <c r="J69" s="29"/>
      <c r="K69" s="29"/>
      <c r="L69" s="29"/>
    </row>
    <row r="70" spans="1:12" x14ac:dyDescent="0.25">
      <c r="A70" s="2" t="s">
        <v>1</v>
      </c>
      <c r="B70" s="2" t="s">
        <v>121</v>
      </c>
      <c r="C70" s="2" t="s">
        <v>121</v>
      </c>
      <c r="D70" s="2" t="s">
        <v>121</v>
      </c>
      <c r="E70" s="2" t="s">
        <v>121</v>
      </c>
      <c r="F70" s="29"/>
      <c r="G70" s="29"/>
      <c r="H70" s="29"/>
      <c r="I70" s="29"/>
      <c r="J70" s="29"/>
      <c r="K70" s="29"/>
      <c r="L70" s="29"/>
    </row>
    <row r="71" spans="1:12" x14ac:dyDescent="0.25">
      <c r="A71" s="44"/>
      <c r="B71" s="29">
        <f>F54</f>
        <v>0</v>
      </c>
      <c r="C71" s="45">
        <f>D14</f>
        <v>1000</v>
      </c>
      <c r="D71" s="45">
        <f>M14</f>
        <v>1000</v>
      </c>
      <c r="E71" s="29">
        <f>B71*D71/C71</f>
        <v>0</v>
      </c>
      <c r="F71" s="29"/>
      <c r="G71" s="29"/>
      <c r="H71" s="29"/>
      <c r="I71" s="29"/>
      <c r="J71" s="29"/>
      <c r="K71" s="29"/>
      <c r="L71" s="29"/>
    </row>
    <row r="72" spans="1:12" x14ac:dyDescent="0.25">
      <c r="A72" s="44">
        <v>1</v>
      </c>
      <c r="B72" s="29">
        <f t="shared" ref="B72:B81" si="34">F55</f>
        <v>9363388.9558123127</v>
      </c>
      <c r="C72" s="45">
        <f t="shared" ref="C72:C81" si="35">D15</f>
        <v>998.74</v>
      </c>
      <c r="D72" s="45">
        <f t="shared" ref="D72:D81" si="36">M15</f>
        <v>949.40149999999994</v>
      </c>
      <c r="E72" s="29">
        <f t="shared" ref="E72:E80" si="37">B72*D72/C72</f>
        <v>8900830.5662451126</v>
      </c>
      <c r="F72" s="29"/>
      <c r="G72" s="29"/>
      <c r="H72" s="29"/>
      <c r="I72" s="29"/>
      <c r="J72" s="29"/>
      <c r="K72" s="29"/>
      <c r="L72" s="29"/>
    </row>
    <row r="73" spans="1:12" x14ac:dyDescent="0.25">
      <c r="A73" s="44">
        <v>2</v>
      </c>
      <c r="B73" s="29">
        <f t="shared" si="34"/>
        <v>18827466.155877486</v>
      </c>
      <c r="C73" s="45">
        <f t="shared" si="35"/>
        <v>997.20194040000001</v>
      </c>
      <c r="D73" s="45">
        <f t="shared" si="36"/>
        <v>901.23693780274994</v>
      </c>
      <c r="E73" s="29">
        <f t="shared" si="37"/>
        <v>17015618.660049628</v>
      </c>
      <c r="F73" s="29"/>
      <c r="G73" s="29"/>
      <c r="H73" s="29"/>
      <c r="I73" s="29"/>
      <c r="J73" s="29"/>
      <c r="K73" s="29"/>
      <c r="L73" s="29"/>
    </row>
    <row r="74" spans="1:12" x14ac:dyDescent="0.25">
      <c r="A74" s="44">
        <v>3</v>
      </c>
      <c r="B74" s="29">
        <f t="shared" si="34"/>
        <v>28375269.243962817</v>
      </c>
      <c r="C74" s="45">
        <f t="shared" si="35"/>
        <v>995.22748055800798</v>
      </c>
      <c r="D74" s="45">
        <f t="shared" si="36"/>
        <v>855.32747757260893</v>
      </c>
      <c r="E74" s="29">
        <f t="shared" si="37"/>
        <v>24386532.669168729</v>
      </c>
      <c r="F74" s="29"/>
      <c r="G74" s="29"/>
      <c r="H74" s="29"/>
      <c r="I74" s="29"/>
      <c r="J74" s="29"/>
      <c r="K74" s="29"/>
      <c r="L74" s="29"/>
    </row>
    <row r="75" spans="1:12" x14ac:dyDescent="0.25">
      <c r="A75" s="44">
        <v>4</v>
      </c>
      <c r="B75" s="29">
        <f t="shared" si="34"/>
        <v>38018087.079583108</v>
      </c>
      <c r="C75" s="45">
        <f t="shared" si="35"/>
        <v>992.9583619023357</v>
      </c>
      <c r="D75" s="45">
        <f t="shared" si="36"/>
        <v>811.63478403576732</v>
      </c>
      <c r="E75" s="29">
        <f t="shared" si="37"/>
        <v>31075625.202625979</v>
      </c>
      <c r="F75" s="29"/>
      <c r="G75" s="29"/>
      <c r="H75" s="29"/>
      <c r="I75" s="29"/>
      <c r="J75" s="29"/>
      <c r="K75" s="29"/>
      <c r="L75" s="29"/>
    </row>
    <row r="76" spans="1:12" x14ac:dyDescent="0.25">
      <c r="A76" s="44">
        <v>5</v>
      </c>
      <c r="B76" s="29">
        <f t="shared" si="34"/>
        <v>47756729.158147365</v>
      </c>
      <c r="C76" s="45">
        <f t="shared" si="35"/>
        <v>990.4163884958657</v>
      </c>
      <c r="D76" s="45">
        <f t="shared" si="36"/>
        <v>770.06609693659152</v>
      </c>
      <c r="E76" s="29">
        <f t="shared" si="37"/>
        <v>37131693.752688713</v>
      </c>
      <c r="F76" s="29"/>
      <c r="G76" s="29"/>
      <c r="H76" s="29"/>
      <c r="I76" s="29"/>
      <c r="J76" s="29"/>
      <c r="K76" s="29"/>
      <c r="L76" s="29"/>
    </row>
    <row r="77" spans="1:12" x14ac:dyDescent="0.25">
      <c r="A77" s="44">
        <v>6</v>
      </c>
      <c r="B77" s="29">
        <f t="shared" si="34"/>
        <v>57594209.845388919</v>
      </c>
      <c r="C77" s="45">
        <f t="shared" si="35"/>
        <v>987.64322260807728</v>
      </c>
      <c r="D77" s="45">
        <f t="shared" si="36"/>
        <v>730.53860418083627</v>
      </c>
      <c r="E77" s="29">
        <f t="shared" si="37"/>
        <v>42601207.304639183</v>
      </c>
      <c r="F77" s="29"/>
      <c r="G77" s="29"/>
      <c r="H77" s="64"/>
      <c r="I77" s="29"/>
      <c r="J77" s="29"/>
      <c r="K77" s="29"/>
      <c r="L77" s="29"/>
    </row>
    <row r="78" spans="1:12" x14ac:dyDescent="0.25">
      <c r="A78" s="44">
        <v>7</v>
      </c>
      <c r="B78" s="29">
        <f t="shared" si="34"/>
        <v>67518158.423625574</v>
      </c>
      <c r="C78" s="45">
        <f t="shared" si="35"/>
        <v>984.52227002463576</v>
      </c>
      <c r="D78" s="45">
        <f t="shared" si="36"/>
        <v>692.91513552691902</v>
      </c>
      <c r="E78" s="29">
        <f t="shared" si="37"/>
        <v>47519853.353305884</v>
      </c>
      <c r="F78" s="29"/>
      <c r="G78" s="29"/>
      <c r="H78" s="29"/>
      <c r="I78" s="29"/>
      <c r="J78" s="29"/>
      <c r="K78" s="29"/>
      <c r="L78" s="29"/>
    </row>
    <row r="79" spans="1:12" x14ac:dyDescent="0.25">
      <c r="A79" s="44">
        <v>8</v>
      </c>
      <c r="B79" s="29">
        <f t="shared" si="34"/>
        <v>77522955.627774239</v>
      </c>
      <c r="C79" s="45">
        <f t="shared" si="35"/>
        <v>981.01737074334801</v>
      </c>
      <c r="D79" s="45">
        <f t="shared" si="36"/>
        <v>657.09765925639704</v>
      </c>
      <c r="E79" s="29">
        <f t="shared" si="37"/>
        <v>51925841.683159001</v>
      </c>
      <c r="F79" s="29"/>
      <c r="G79" s="29"/>
      <c r="H79" s="29"/>
      <c r="I79" s="29"/>
      <c r="J79" s="29"/>
      <c r="K79" s="29"/>
      <c r="L79" s="29"/>
    </row>
    <row r="80" spans="1:12" x14ac:dyDescent="0.25">
      <c r="A80" s="44">
        <v>9</v>
      </c>
      <c r="B80" s="29">
        <f t="shared" si="34"/>
        <v>87600686.382543981</v>
      </c>
      <c r="C80" s="45">
        <f t="shared" si="35"/>
        <v>977.07368091295973</v>
      </c>
      <c r="D80" s="45">
        <f t="shared" si="36"/>
        <v>622.98804831322707</v>
      </c>
      <c r="E80" s="29">
        <f t="shared" si="37"/>
        <v>55854723.862142153</v>
      </c>
      <c r="F80" s="29"/>
      <c r="G80" s="29"/>
      <c r="H80" s="29"/>
      <c r="I80" s="29"/>
      <c r="J80" s="29"/>
      <c r="K80" s="29"/>
      <c r="L80" s="29"/>
    </row>
    <row r="81" spans="1:24" x14ac:dyDescent="0.25">
      <c r="A81" s="44">
        <v>10</v>
      </c>
      <c r="B81" s="29">
        <f t="shared" si="34"/>
        <v>0</v>
      </c>
      <c r="C81" s="45">
        <f t="shared" si="35"/>
        <v>0</v>
      </c>
      <c r="D81" s="29">
        <f t="shared" si="36"/>
        <v>0</v>
      </c>
      <c r="E81" s="29">
        <v>0</v>
      </c>
      <c r="F81" s="29"/>
      <c r="G81" s="29"/>
      <c r="H81" s="29"/>
      <c r="I81" s="29"/>
      <c r="J81" s="29"/>
      <c r="K81" s="29"/>
      <c r="L81" s="29"/>
    </row>
    <row r="82" spans="1:24" x14ac:dyDescent="0.25">
      <c r="B82" s="52"/>
      <c r="C82" s="52"/>
      <c r="D82" s="52"/>
      <c r="E82" s="52"/>
      <c r="F82" s="52"/>
      <c r="G82" s="52"/>
      <c r="H82" s="52"/>
    </row>
    <row r="83" spans="1:24" x14ac:dyDescent="0.25">
      <c r="A83" s="3" t="s">
        <v>13</v>
      </c>
    </row>
    <row r="84" spans="1:24" x14ac:dyDescent="0.25">
      <c r="A84" s="3"/>
    </row>
    <row r="85" spans="1:24" x14ac:dyDescent="0.25">
      <c r="A85" s="3"/>
    </row>
    <row r="86" spans="1:24" x14ac:dyDescent="0.25">
      <c r="A86" s="3"/>
      <c r="F86" s="44" t="s">
        <v>19</v>
      </c>
    </row>
    <row r="87" spans="1:24" x14ac:dyDescent="0.25">
      <c r="B87" s="44"/>
      <c r="C87" s="44" t="s">
        <v>25</v>
      </c>
      <c r="D87" s="44" t="s">
        <v>18</v>
      </c>
      <c r="F87" s="44" t="s">
        <v>85</v>
      </c>
      <c r="G87" s="44" t="s">
        <v>19</v>
      </c>
      <c r="R87" s="20" t="s">
        <v>160</v>
      </c>
      <c r="U87" s="44"/>
      <c r="W87" s="44"/>
    </row>
    <row r="88" spans="1:24" x14ac:dyDescent="0.25">
      <c r="A88" s="44" t="s">
        <v>0</v>
      </c>
      <c r="B88" s="44" t="s">
        <v>25</v>
      </c>
      <c r="C88" s="44" t="s">
        <v>35</v>
      </c>
      <c r="D88" s="44" t="s">
        <v>25</v>
      </c>
      <c r="E88" s="44" t="s">
        <v>64</v>
      </c>
      <c r="F88" s="44" t="s">
        <v>84</v>
      </c>
      <c r="G88" s="44" t="s">
        <v>83</v>
      </c>
      <c r="H88" s="44"/>
      <c r="R88" s="30" t="s">
        <v>0</v>
      </c>
      <c r="S88" s="30" t="s">
        <v>25</v>
      </c>
      <c r="T88" s="30" t="s">
        <v>64</v>
      </c>
      <c r="U88" s="30" t="s">
        <v>148</v>
      </c>
      <c r="V88" s="30" t="s">
        <v>19</v>
      </c>
      <c r="W88" s="30" t="s">
        <v>19</v>
      </c>
      <c r="X88" s="30" t="s">
        <v>13</v>
      </c>
    </row>
    <row r="89" spans="1:24" x14ac:dyDescent="0.25">
      <c r="A89" s="2" t="s">
        <v>1</v>
      </c>
      <c r="B89" s="2" t="s">
        <v>6</v>
      </c>
      <c r="C89" s="2" t="s">
        <v>36</v>
      </c>
      <c r="D89" s="2" t="s">
        <v>36</v>
      </c>
      <c r="E89" s="2" t="s">
        <v>34</v>
      </c>
      <c r="F89" s="2" t="s">
        <v>86</v>
      </c>
      <c r="G89" s="2" t="s">
        <v>1</v>
      </c>
      <c r="H89" s="2"/>
      <c r="R89" s="36" t="s">
        <v>1</v>
      </c>
      <c r="S89" s="36" t="s">
        <v>36</v>
      </c>
      <c r="T89" s="36" t="s">
        <v>150</v>
      </c>
      <c r="U89" s="36" t="s">
        <v>149</v>
      </c>
      <c r="V89" s="36" t="s">
        <v>151</v>
      </c>
      <c r="W89" s="36" t="s">
        <v>152</v>
      </c>
      <c r="X89" s="36" t="s">
        <v>138</v>
      </c>
    </row>
    <row r="90" spans="1:24" x14ac:dyDescent="0.25">
      <c r="E90" s="53">
        <f>Q14</f>
        <v>100000</v>
      </c>
      <c r="R90" s="39">
        <f>A91</f>
        <v>1</v>
      </c>
      <c r="S90" s="71">
        <f>D91</f>
        <v>7519999.9999999991</v>
      </c>
      <c r="T90" s="71">
        <f>E90</f>
        <v>100000</v>
      </c>
      <c r="U90" s="71">
        <f>SUM(T90:$T$99)</f>
        <v>799120.6243625097</v>
      </c>
      <c r="V90" s="74">
        <f>T90/U90</f>
        <v>0.12513755364501319</v>
      </c>
      <c r="W90" s="58">
        <f>V90*S90</f>
        <v>941034.4034104991</v>
      </c>
      <c r="X90" s="71">
        <f>S90-W90</f>
        <v>6578965.5965895001</v>
      </c>
    </row>
    <row r="91" spans="1:24" x14ac:dyDescent="0.25">
      <c r="A91" s="20">
        <v>1</v>
      </c>
      <c r="B91" s="53">
        <f>Input!G18*'Actuarial balances'!E33</f>
        <v>7419999.9999999991</v>
      </c>
      <c r="C91" s="53">
        <f>Input!I18*'Actuarial balances'!D14</f>
        <v>100000</v>
      </c>
      <c r="D91" s="53">
        <f>B91+C91</f>
        <v>7519999.9999999991</v>
      </c>
      <c r="E91" s="53">
        <f t="shared" ref="E91:E100" si="38">Q15</f>
        <v>94940.15</v>
      </c>
      <c r="F91" s="41">
        <f t="shared" ref="F91:F100" si="39">E90/E$102</f>
        <v>0.12513755364501319</v>
      </c>
      <c r="G91" s="53">
        <f t="shared" ref="G91:G100" si="40">D$91*F91</f>
        <v>941034.4034104991</v>
      </c>
      <c r="R91" s="39">
        <f t="shared" ref="R91:R99" si="41">A92</f>
        <v>2</v>
      </c>
      <c r="S91" s="71">
        <f t="shared" ref="S91:S99" si="42">D92</f>
        <v>0</v>
      </c>
      <c r="T91" s="71">
        <f t="shared" ref="T91:T99" si="43">E91</f>
        <v>94940.15</v>
      </c>
      <c r="U91" s="71">
        <f>SUM(T91:$T$99)</f>
        <v>699120.6243625097</v>
      </c>
      <c r="V91" s="74">
        <f t="shared" ref="V91:V99" si="44">T91/U91</f>
        <v>0.13579938381387444</v>
      </c>
      <c r="W91" s="58">
        <f>V91*(S91+X90)</f>
        <v>893419.47414953297</v>
      </c>
      <c r="X91" s="71">
        <f>X90+S91-W91</f>
        <v>5685546.1224399675</v>
      </c>
    </row>
    <row r="92" spans="1:24" x14ac:dyDescent="0.25">
      <c r="A92" s="20">
        <v>2</v>
      </c>
      <c r="B92" s="53">
        <f>Input!G19*'Actuarial balances'!E34</f>
        <v>0</v>
      </c>
      <c r="C92" s="53">
        <v>0</v>
      </c>
      <c r="D92" s="53">
        <v>0</v>
      </c>
      <c r="E92" s="53">
        <f t="shared" si="38"/>
        <v>90123.693780274989</v>
      </c>
      <c r="F92" s="41">
        <f t="shared" si="39"/>
        <v>0.118805781136906</v>
      </c>
      <c r="G92" s="53">
        <f t="shared" si="40"/>
        <v>893419.47414953297</v>
      </c>
      <c r="R92" s="39">
        <f t="shared" si="41"/>
        <v>3</v>
      </c>
      <c r="S92" s="71">
        <f t="shared" si="42"/>
        <v>0</v>
      </c>
      <c r="T92" s="71">
        <f t="shared" si="43"/>
        <v>90123.693780274989</v>
      </c>
      <c r="U92" s="71">
        <f>SUM(T92:$T$99)</f>
        <v>604180.47436250967</v>
      </c>
      <c r="V92" s="74">
        <f t="shared" si="44"/>
        <v>0.14916684269773434</v>
      </c>
      <c r="W92" s="58">
        <f t="shared" ref="W92:W99" si="45">V92*(S92+X91)</f>
        <v>848094.96409671602</v>
      </c>
      <c r="X92" s="71">
        <f t="shared" ref="X92:X99" si="46">X91+S92-W92</f>
        <v>4837451.1583432518</v>
      </c>
    </row>
    <row r="93" spans="1:24" x14ac:dyDescent="0.25">
      <c r="A93" s="20">
        <v>3</v>
      </c>
      <c r="B93" s="53">
        <f>Input!G20*'Actuarial balances'!E35</f>
        <v>0</v>
      </c>
      <c r="C93" s="53">
        <v>0</v>
      </c>
      <c r="D93" s="53">
        <v>0</v>
      </c>
      <c r="E93" s="53">
        <f t="shared" si="38"/>
        <v>85532.747757260891</v>
      </c>
      <c r="F93" s="41">
        <f t="shared" si="39"/>
        <v>0.11277858565115904</v>
      </c>
      <c r="G93" s="53">
        <f t="shared" si="40"/>
        <v>848094.96409671591</v>
      </c>
      <c r="R93" s="39">
        <f t="shared" si="41"/>
        <v>4</v>
      </c>
      <c r="S93" s="71">
        <f t="shared" si="42"/>
        <v>0</v>
      </c>
      <c r="T93" s="71">
        <f t="shared" si="43"/>
        <v>85532.747757260891</v>
      </c>
      <c r="U93" s="71">
        <f>SUM(T93:$T$99)</f>
        <v>514056.78058223473</v>
      </c>
      <c r="V93" s="74">
        <f t="shared" si="44"/>
        <v>0.16638774351032617</v>
      </c>
      <c r="W93" s="58">
        <f t="shared" si="45"/>
        <v>804892.58257814718</v>
      </c>
      <c r="X93" s="71">
        <f t="shared" si="46"/>
        <v>4032558.5757651045</v>
      </c>
    </row>
    <row r="94" spans="1:24" x14ac:dyDescent="0.25">
      <c r="A94" s="20">
        <v>4</v>
      </c>
      <c r="B94" s="53">
        <f>Input!G21*'Actuarial balances'!E36</f>
        <v>0</v>
      </c>
      <c r="C94" s="53">
        <v>0</v>
      </c>
      <c r="D94" s="53">
        <v>0</v>
      </c>
      <c r="E94" s="53">
        <f t="shared" si="38"/>
        <v>81163.478403576737</v>
      </c>
      <c r="F94" s="41">
        <f t="shared" si="39"/>
        <v>0.10703358810879618</v>
      </c>
      <c r="G94" s="53">
        <f t="shared" si="40"/>
        <v>804892.58257814718</v>
      </c>
      <c r="R94" s="39">
        <f t="shared" si="41"/>
        <v>5</v>
      </c>
      <c r="S94" s="71">
        <f t="shared" si="42"/>
        <v>0</v>
      </c>
      <c r="T94" s="71">
        <f t="shared" si="43"/>
        <v>81163.478403576737</v>
      </c>
      <c r="U94" s="71">
        <f>SUM(T94:$T$99)</f>
        <v>428524.03282497381</v>
      </c>
      <c r="V94" s="74">
        <f t="shared" si="44"/>
        <v>0.18940239563349559</v>
      </c>
      <c r="W94" s="58">
        <f t="shared" si="45"/>
        <v>763776.25478230778</v>
      </c>
      <c r="X94" s="71">
        <f t="shared" si="46"/>
        <v>3268782.3209827966</v>
      </c>
    </row>
    <row r="95" spans="1:24" x14ac:dyDescent="0.25">
      <c r="A95" s="20">
        <v>5</v>
      </c>
      <c r="B95" s="53">
        <f>Input!G22*'Actuarial balances'!E37</f>
        <v>0</v>
      </c>
      <c r="C95" s="53">
        <v>0</v>
      </c>
      <c r="D95" s="53">
        <v>0</v>
      </c>
      <c r="E95" s="53">
        <f t="shared" si="38"/>
        <v>77006.609693659149</v>
      </c>
      <c r="F95" s="41">
        <f t="shared" si="39"/>
        <v>0.10156599132743455</v>
      </c>
      <c r="G95" s="53">
        <f t="shared" si="40"/>
        <v>763776.25478230766</v>
      </c>
      <c r="R95" s="39">
        <f t="shared" si="41"/>
        <v>6</v>
      </c>
      <c r="S95" s="71">
        <f t="shared" si="42"/>
        <v>0</v>
      </c>
      <c r="T95" s="71">
        <f t="shared" si="43"/>
        <v>77006.609693659149</v>
      </c>
      <c r="U95" s="71">
        <f>SUM(T95:$T$99)</f>
        <v>347360.5544213971</v>
      </c>
      <c r="V95" s="74">
        <f t="shared" si="44"/>
        <v>0.22169071506098337</v>
      </c>
      <c r="W95" s="58">
        <f t="shared" si="45"/>
        <v>724658.69011737709</v>
      </c>
      <c r="X95" s="71">
        <f t="shared" si="46"/>
        <v>2544123.6308654193</v>
      </c>
    </row>
    <row r="96" spans="1:24" x14ac:dyDescent="0.25">
      <c r="A96" s="20">
        <v>6</v>
      </c>
      <c r="B96" s="53">
        <f>Input!G23*'Actuarial balances'!E38</f>
        <v>0</v>
      </c>
      <c r="C96" s="53">
        <v>0</v>
      </c>
      <c r="D96" s="53">
        <v>0</v>
      </c>
      <c r="E96" s="53">
        <f t="shared" si="38"/>
        <v>73053.860418083626</v>
      </c>
      <c r="F96" s="41">
        <f t="shared" si="39"/>
        <v>9.6364187515608657E-2</v>
      </c>
      <c r="G96" s="53">
        <f t="shared" si="40"/>
        <v>724658.69011737697</v>
      </c>
      <c r="R96" s="39">
        <f t="shared" si="41"/>
        <v>7</v>
      </c>
      <c r="S96" s="71">
        <f t="shared" si="42"/>
        <v>0</v>
      </c>
      <c r="T96" s="71">
        <f t="shared" si="43"/>
        <v>73053.860418083626</v>
      </c>
      <c r="U96" s="71">
        <f>SUM(T96:$T$99)</f>
        <v>270353.94472773792</v>
      </c>
      <c r="V96" s="74">
        <f t="shared" si="44"/>
        <v>0.27021562600705934</v>
      </c>
      <c r="W96" s="58">
        <f t="shared" si="45"/>
        <v>687461.95955365198</v>
      </c>
      <c r="X96" s="71">
        <f t="shared" si="46"/>
        <v>1856661.6713117673</v>
      </c>
    </row>
    <row r="97" spans="1:24" x14ac:dyDescent="0.25">
      <c r="A97" s="20">
        <v>7</v>
      </c>
      <c r="B97" s="53">
        <f>Input!G24*'Actuarial balances'!E39</f>
        <v>0</v>
      </c>
      <c r="C97" s="53">
        <v>0</v>
      </c>
      <c r="D97" s="53">
        <v>0</v>
      </c>
      <c r="E97" s="53">
        <f t="shared" si="38"/>
        <v>69291.513552691904</v>
      </c>
      <c r="F97" s="41">
        <f t="shared" si="39"/>
        <v>9.1417813770432468E-2</v>
      </c>
      <c r="G97" s="53">
        <f t="shared" si="40"/>
        <v>687461.95955365209</v>
      </c>
      <c r="R97" s="39">
        <f t="shared" si="41"/>
        <v>8</v>
      </c>
      <c r="S97" s="71">
        <f t="shared" si="42"/>
        <v>0</v>
      </c>
      <c r="T97" s="71">
        <f t="shared" si="43"/>
        <v>69291.513552691904</v>
      </c>
      <c r="U97" s="71">
        <f>SUM(T97:$T$99)</f>
        <v>197300.08430965431</v>
      </c>
      <c r="V97" s="74">
        <f t="shared" si="44"/>
        <v>0.35119860082746718</v>
      </c>
      <c r="W97" s="58">
        <f t="shared" si="45"/>
        <v>652056.98117467947</v>
      </c>
      <c r="X97" s="71">
        <f t="shared" si="46"/>
        <v>1204604.6901370878</v>
      </c>
    </row>
    <row r="98" spans="1:24" x14ac:dyDescent="0.25">
      <c r="A98" s="20">
        <v>8</v>
      </c>
      <c r="B98" s="53">
        <f>Input!G25*'Actuarial balances'!E40</f>
        <v>0</v>
      </c>
      <c r="C98" s="53">
        <v>0</v>
      </c>
      <c r="D98" s="53">
        <v>0</v>
      </c>
      <c r="E98" s="53">
        <f t="shared" si="38"/>
        <v>65709.765925639702</v>
      </c>
      <c r="F98" s="41">
        <f t="shared" si="39"/>
        <v>8.6709704943441421E-2</v>
      </c>
      <c r="G98" s="53">
        <f t="shared" si="40"/>
        <v>652056.98117467936</v>
      </c>
      <c r="R98" s="39">
        <f t="shared" si="41"/>
        <v>9</v>
      </c>
      <c r="S98" s="71">
        <f t="shared" si="42"/>
        <v>0</v>
      </c>
      <c r="T98" s="71">
        <f t="shared" si="43"/>
        <v>65709.765925639702</v>
      </c>
      <c r="U98" s="71">
        <f>SUM(T98:$T$99)</f>
        <v>128008.57075696241</v>
      </c>
      <c r="V98" s="74">
        <f t="shared" si="44"/>
        <v>0.51332317466770672</v>
      </c>
      <c r="W98" s="58">
        <f t="shared" si="45"/>
        <v>618351.50376077904</v>
      </c>
      <c r="X98" s="71">
        <f t="shared" si="46"/>
        <v>586253.18637630879</v>
      </c>
    </row>
    <row r="99" spans="1:24" x14ac:dyDescent="0.25">
      <c r="A99" s="20">
        <v>9</v>
      </c>
      <c r="B99" s="53">
        <f>Input!G26*'Actuarial balances'!E41</f>
        <v>0</v>
      </c>
      <c r="C99" s="53">
        <v>0</v>
      </c>
      <c r="D99" s="53">
        <v>0</v>
      </c>
      <c r="E99" s="53">
        <f t="shared" si="38"/>
        <v>62298.804831322705</v>
      </c>
      <c r="F99" s="41">
        <f t="shared" si="39"/>
        <v>8.2227593585209993E-2</v>
      </c>
      <c r="G99" s="53">
        <f t="shared" si="40"/>
        <v>618351.50376077904</v>
      </c>
      <c r="R99" s="39">
        <f t="shared" si="41"/>
        <v>10</v>
      </c>
      <c r="S99" s="71">
        <f t="shared" si="42"/>
        <v>0</v>
      </c>
      <c r="T99" s="71">
        <f t="shared" si="43"/>
        <v>62298.804831322705</v>
      </c>
      <c r="U99" s="71">
        <f>SUM(T99:$T$99)</f>
        <v>62298.804831322705</v>
      </c>
      <c r="V99" s="74">
        <f t="shared" si="44"/>
        <v>1</v>
      </c>
      <c r="W99" s="58">
        <f t="shared" si="45"/>
        <v>586253.18637630879</v>
      </c>
      <c r="X99" s="71">
        <f t="shared" si="46"/>
        <v>0</v>
      </c>
    </row>
    <row r="100" spans="1:24" x14ac:dyDescent="0.25">
      <c r="A100" s="20">
        <v>10</v>
      </c>
      <c r="B100" s="53">
        <f>Input!G27*'Actuarial balances'!E42</f>
        <v>0</v>
      </c>
      <c r="C100" s="53">
        <v>0</v>
      </c>
      <c r="D100" s="53">
        <v>0</v>
      </c>
      <c r="E100" s="53">
        <f t="shared" si="38"/>
        <v>0</v>
      </c>
      <c r="F100" s="41">
        <f t="shared" si="39"/>
        <v>7.7959200315998525E-2</v>
      </c>
      <c r="G100" s="53">
        <f t="shared" si="40"/>
        <v>586253.18637630879</v>
      </c>
    </row>
    <row r="101" spans="1:24" x14ac:dyDescent="0.25">
      <c r="B101" s="53"/>
      <c r="C101" s="53"/>
      <c r="D101" s="53"/>
      <c r="E101" s="53"/>
    </row>
    <row r="102" spans="1:24" x14ac:dyDescent="0.25">
      <c r="A102" s="44" t="s">
        <v>82</v>
      </c>
      <c r="B102" s="53"/>
      <c r="C102" s="53"/>
      <c r="D102" s="53"/>
      <c r="E102" s="53">
        <f>SUM(E90:E101)</f>
        <v>799120.6243625097</v>
      </c>
      <c r="G102" s="53"/>
    </row>
    <row r="103" spans="1:24" x14ac:dyDescent="0.25">
      <c r="B103" s="53"/>
      <c r="C103" s="53"/>
      <c r="D103" s="53"/>
      <c r="E103" s="57"/>
    </row>
    <row r="104" spans="1:24" x14ac:dyDescent="0.25">
      <c r="A104" s="3" t="s">
        <v>37</v>
      </c>
    </row>
    <row r="105" spans="1:24" x14ac:dyDescent="0.25">
      <c r="A105" s="3"/>
    </row>
    <row r="106" spans="1:24" x14ac:dyDescent="0.25">
      <c r="B106" s="44"/>
      <c r="C106" s="44"/>
      <c r="D106" s="44" t="s">
        <v>13</v>
      </c>
    </row>
    <row r="107" spans="1:24" x14ac:dyDescent="0.25">
      <c r="B107" s="2" t="s">
        <v>38</v>
      </c>
      <c r="C107" s="2" t="s">
        <v>19</v>
      </c>
      <c r="D107" s="2" t="s">
        <v>34</v>
      </c>
    </row>
    <row r="108" spans="1:24" x14ac:dyDescent="0.25">
      <c r="D108" s="53">
        <v>0</v>
      </c>
    </row>
    <row r="109" spans="1:24" x14ac:dyDescent="0.25">
      <c r="A109" s="20">
        <v>1</v>
      </c>
      <c r="B109" s="53">
        <f t="shared" ref="B109:B118" si="47">D91</f>
        <v>7519999.9999999991</v>
      </c>
      <c r="C109" s="53">
        <f t="shared" ref="C109:C118" si="48">-G91</f>
        <v>-941034.4034104991</v>
      </c>
      <c r="D109" s="53">
        <f>D108+B109+C109</f>
        <v>6578965.5965895001</v>
      </c>
    </row>
    <row r="110" spans="1:24" x14ac:dyDescent="0.25">
      <c r="A110" s="20">
        <v>2</v>
      </c>
      <c r="B110" s="53">
        <f t="shared" si="47"/>
        <v>0</v>
      </c>
      <c r="C110" s="53">
        <f t="shared" si="48"/>
        <v>-893419.47414953297</v>
      </c>
      <c r="D110" s="53">
        <f t="shared" ref="D110:D118" si="49">D109+B110+C110</f>
        <v>5685546.1224399675</v>
      </c>
    </row>
    <row r="111" spans="1:24" x14ac:dyDescent="0.25">
      <c r="A111" s="20">
        <v>3</v>
      </c>
      <c r="B111" s="53">
        <f t="shared" si="47"/>
        <v>0</v>
      </c>
      <c r="C111" s="53">
        <f t="shared" si="48"/>
        <v>-848094.96409671591</v>
      </c>
      <c r="D111" s="53">
        <f t="shared" si="49"/>
        <v>4837451.1583432518</v>
      </c>
    </row>
    <row r="112" spans="1:24" x14ac:dyDescent="0.25">
      <c r="A112" s="20">
        <v>4</v>
      </c>
      <c r="B112" s="53">
        <f t="shared" si="47"/>
        <v>0</v>
      </c>
      <c r="C112" s="53">
        <f t="shared" si="48"/>
        <v>-804892.58257814718</v>
      </c>
      <c r="D112" s="53">
        <f t="shared" si="49"/>
        <v>4032558.5757651045</v>
      </c>
    </row>
    <row r="113" spans="1:23" x14ac:dyDescent="0.25">
      <c r="A113" s="20">
        <v>5</v>
      </c>
      <c r="B113" s="53">
        <f t="shared" si="47"/>
        <v>0</v>
      </c>
      <c r="C113" s="53">
        <f t="shared" si="48"/>
        <v>-763776.25478230766</v>
      </c>
      <c r="D113" s="53">
        <f t="shared" si="49"/>
        <v>3268782.3209827971</v>
      </c>
    </row>
    <row r="114" spans="1:23" x14ac:dyDescent="0.25">
      <c r="A114" s="20">
        <v>6</v>
      </c>
      <c r="B114" s="53">
        <f t="shared" si="47"/>
        <v>0</v>
      </c>
      <c r="C114" s="53">
        <f t="shared" si="48"/>
        <v>-724658.69011737697</v>
      </c>
      <c r="D114" s="53">
        <f t="shared" si="49"/>
        <v>2544123.6308654202</v>
      </c>
    </row>
    <row r="115" spans="1:23" x14ac:dyDescent="0.25">
      <c r="A115" s="20">
        <v>7</v>
      </c>
      <c r="B115" s="53">
        <f t="shared" si="47"/>
        <v>0</v>
      </c>
      <c r="C115" s="53">
        <f t="shared" si="48"/>
        <v>-687461.95955365209</v>
      </c>
      <c r="D115" s="53">
        <f t="shared" si="49"/>
        <v>1856661.6713117682</v>
      </c>
    </row>
    <row r="116" spans="1:23" x14ac:dyDescent="0.25">
      <c r="A116" s="20">
        <v>8</v>
      </c>
      <c r="B116" s="53">
        <f t="shared" si="47"/>
        <v>0</v>
      </c>
      <c r="C116" s="53">
        <f t="shared" si="48"/>
        <v>-652056.98117467936</v>
      </c>
      <c r="D116" s="53">
        <f t="shared" si="49"/>
        <v>1204604.6901370888</v>
      </c>
    </row>
    <row r="117" spans="1:23" x14ac:dyDescent="0.25">
      <c r="A117" s="20">
        <v>9</v>
      </c>
      <c r="B117" s="53">
        <f t="shared" si="47"/>
        <v>0</v>
      </c>
      <c r="C117" s="53">
        <f t="shared" si="48"/>
        <v>-618351.50376077904</v>
      </c>
      <c r="D117" s="53">
        <f t="shared" si="49"/>
        <v>586253.18637630972</v>
      </c>
    </row>
    <row r="118" spans="1:23" x14ac:dyDescent="0.25">
      <c r="A118" s="20">
        <v>10</v>
      </c>
      <c r="B118" s="53">
        <f t="shared" si="47"/>
        <v>0</v>
      </c>
      <c r="C118" s="53">
        <f t="shared" si="48"/>
        <v>-586253.18637630879</v>
      </c>
      <c r="D118" s="53">
        <f t="shared" si="49"/>
        <v>9.3132257461547852E-10</v>
      </c>
    </row>
    <row r="119" spans="1:23" x14ac:dyDescent="0.25">
      <c r="B119" s="53"/>
      <c r="C119" s="53"/>
      <c r="D119" s="53"/>
    </row>
    <row r="120" spans="1:23" x14ac:dyDescent="0.25">
      <c r="A120" s="4" t="s">
        <v>81</v>
      </c>
      <c r="B120" s="1"/>
      <c r="C120" s="1"/>
      <c r="D120" s="1"/>
    </row>
    <row r="122" spans="1:23" x14ac:dyDescent="0.25">
      <c r="A122" s="3" t="s">
        <v>123</v>
      </c>
      <c r="B122" s="3"/>
      <c r="C122" s="3"/>
      <c r="D122" s="3"/>
    </row>
    <row r="124" spans="1:23" x14ac:dyDescent="0.25">
      <c r="A124" s="44" t="s">
        <v>0</v>
      </c>
      <c r="B124" s="44" t="s">
        <v>72</v>
      </c>
      <c r="C124" s="44" t="s">
        <v>72</v>
      </c>
      <c r="D124" s="44" t="s">
        <v>31</v>
      </c>
      <c r="F124" s="44" t="s">
        <v>73</v>
      </c>
      <c r="G124" s="44" t="s">
        <v>73</v>
      </c>
      <c r="H124" s="44" t="s">
        <v>64</v>
      </c>
      <c r="R124" s="20" t="s">
        <v>162</v>
      </c>
    </row>
    <row r="125" spans="1:23" x14ac:dyDescent="0.25">
      <c r="A125" s="2" t="s">
        <v>1</v>
      </c>
      <c r="B125" s="2" t="s">
        <v>32</v>
      </c>
      <c r="C125" s="2" t="s">
        <v>33</v>
      </c>
      <c r="D125" s="2" t="s">
        <v>34</v>
      </c>
      <c r="F125" s="2" t="s">
        <v>32</v>
      </c>
      <c r="G125" s="2" t="s">
        <v>33</v>
      </c>
      <c r="H125" s="2" t="s">
        <v>34</v>
      </c>
      <c r="R125" s="30" t="s">
        <v>0</v>
      </c>
      <c r="S125" s="30" t="s">
        <v>144</v>
      </c>
      <c r="T125" s="30" t="s">
        <v>144</v>
      </c>
      <c r="U125" s="30" t="s">
        <v>64</v>
      </c>
      <c r="V125" s="30" t="s">
        <v>60</v>
      </c>
      <c r="W125" s="30" t="s">
        <v>18</v>
      </c>
    </row>
    <row r="126" spans="1:23" x14ac:dyDescent="0.25">
      <c r="D126" s="65">
        <f>Input!B31</f>
        <v>1000</v>
      </c>
      <c r="H126" s="53">
        <f>D126*Input!B$32</f>
        <v>100000</v>
      </c>
      <c r="R126" s="36" t="s">
        <v>1</v>
      </c>
      <c r="S126" s="36" t="s">
        <v>145</v>
      </c>
      <c r="T126" s="36" t="s">
        <v>146</v>
      </c>
      <c r="U126" s="36" t="s">
        <v>138</v>
      </c>
      <c r="V126" s="36" t="s">
        <v>111</v>
      </c>
      <c r="W126" s="36" t="s">
        <v>147</v>
      </c>
    </row>
    <row r="127" spans="1:23" x14ac:dyDescent="0.25">
      <c r="A127" s="20">
        <v>1</v>
      </c>
      <c r="B127" s="65">
        <f>Input!M39*'Actuarial balances'!D126</f>
        <v>0.63</v>
      </c>
      <c r="C127" s="65">
        <f>Input!N39*('Actuarial balances'!D126-'Actuarial balances'!B127)</f>
        <v>49.968500000000006</v>
      </c>
      <c r="D127" s="65">
        <f t="shared" ref="D127:D136" si="50">D126-B127-C127</f>
        <v>949.40149999999994</v>
      </c>
      <c r="E127" s="66"/>
      <c r="F127" s="53">
        <f>H$126/D$126*B127</f>
        <v>63</v>
      </c>
      <c r="G127" s="53">
        <f>H$126/D$126*C127</f>
        <v>4996.8500000000004</v>
      </c>
      <c r="H127" s="53">
        <f t="shared" ref="H127:H136" si="51">H126-F127-G127</f>
        <v>94940.15</v>
      </c>
      <c r="R127" s="38">
        <f>A126</f>
        <v>0</v>
      </c>
      <c r="S127" s="59">
        <f>F126</f>
        <v>0</v>
      </c>
      <c r="T127" s="39"/>
      <c r="U127" s="71">
        <f>H126</f>
        <v>100000</v>
      </c>
      <c r="V127" s="72">
        <f>V49</f>
        <v>0</v>
      </c>
      <c r="W127" s="59">
        <f>U127*V127</f>
        <v>0</v>
      </c>
    </row>
    <row r="128" spans="1:23" x14ac:dyDescent="0.25">
      <c r="A128" s="20">
        <v>2</v>
      </c>
      <c r="B128" s="65">
        <f>Input!M40*'Actuarial balances'!D127</f>
        <v>0.73103915499999994</v>
      </c>
      <c r="C128" s="65">
        <f>Input!N40*('Actuarial balances'!D127-'Actuarial balances'!B128)</f>
        <v>47.433523042250002</v>
      </c>
      <c r="D128" s="65">
        <f t="shared" si="50"/>
        <v>901.23693780274994</v>
      </c>
      <c r="E128" s="66"/>
      <c r="F128" s="53">
        <f t="shared" ref="F128:F136" si="52">H$126/D$126*B128</f>
        <v>73.103915499999999</v>
      </c>
      <c r="G128" s="53">
        <f t="shared" ref="G128:G136" si="53">H$126/D$126*C128</f>
        <v>4743.3523042249999</v>
      </c>
      <c r="H128" s="53">
        <f t="shared" si="51"/>
        <v>90123.693780274989</v>
      </c>
      <c r="R128" s="38">
        <f t="shared" ref="R128:R137" si="54">A127</f>
        <v>1</v>
      </c>
      <c r="S128" s="59">
        <f t="shared" ref="S128:S137" si="55">F127</f>
        <v>63</v>
      </c>
      <c r="T128" s="71">
        <f>G127</f>
        <v>4996.8500000000004</v>
      </c>
      <c r="U128" s="71">
        <f>U127-T128-S128</f>
        <v>94940.15</v>
      </c>
      <c r="V128" s="72">
        <f t="shared" ref="V128:V137" si="56">V50</f>
        <v>93.752017099668706</v>
      </c>
      <c r="W128" s="59">
        <f t="shared" ref="W128:W137" si="57">U128*V128</f>
        <v>8900830.5662451107</v>
      </c>
    </row>
    <row r="129" spans="1:23" x14ac:dyDescent="0.25">
      <c r="A129" s="20">
        <v>3</v>
      </c>
      <c r="B129" s="65">
        <f>Input!M41*'Actuarial balances'!D128</f>
        <v>0.89222456842472242</v>
      </c>
      <c r="C129" s="65">
        <f>Input!N41*('Actuarial balances'!D128-'Actuarial balances'!B129)</f>
        <v>45.017235661716263</v>
      </c>
      <c r="D129" s="65">
        <f t="shared" si="50"/>
        <v>855.32747757260893</v>
      </c>
      <c r="E129" s="66"/>
      <c r="F129" s="53">
        <f t="shared" si="52"/>
        <v>89.222456842472241</v>
      </c>
      <c r="G129" s="53">
        <f t="shared" si="53"/>
        <v>4501.7235661716268</v>
      </c>
      <c r="H129" s="53">
        <f t="shared" si="51"/>
        <v>85532.747757260891</v>
      </c>
      <c r="R129" s="38">
        <f t="shared" si="54"/>
        <v>2</v>
      </c>
      <c r="S129" s="59">
        <f t="shared" si="55"/>
        <v>73.103915499999999</v>
      </c>
      <c r="T129" s="71">
        <f t="shared" ref="T129:T137" si="58">G128</f>
        <v>4743.3523042249999</v>
      </c>
      <c r="U129" s="71">
        <f t="shared" ref="U129:U137" si="59">U128-T129-S129</f>
        <v>90123.693780274989</v>
      </c>
      <c r="V129" s="72">
        <f t="shared" si="56"/>
        <v>188.80294344719553</v>
      </c>
      <c r="W129" s="59">
        <f t="shared" si="57"/>
        <v>17015618.660049625</v>
      </c>
    </row>
    <row r="130" spans="1:23" x14ac:dyDescent="0.25">
      <c r="A130" s="20">
        <v>4</v>
      </c>
      <c r="B130" s="65">
        <f>Input!M42*'Actuarial balances'!D129</f>
        <v>0.97507332443277417</v>
      </c>
      <c r="C130" s="65">
        <f>Input!N42*('Actuarial balances'!D129-'Actuarial balances'!B130)</f>
        <v>42.717620212408811</v>
      </c>
      <c r="D130" s="65">
        <f t="shared" si="50"/>
        <v>811.63478403576732</v>
      </c>
      <c r="E130" s="66"/>
      <c r="F130" s="53">
        <f t="shared" si="52"/>
        <v>97.50733244327742</v>
      </c>
      <c r="G130" s="53">
        <f t="shared" si="53"/>
        <v>4271.762021240881</v>
      </c>
      <c r="H130" s="53">
        <f t="shared" si="51"/>
        <v>81163.478403576737</v>
      </c>
      <c r="R130" s="38">
        <f t="shared" si="54"/>
        <v>3</v>
      </c>
      <c r="S130" s="59">
        <f t="shared" si="55"/>
        <v>89.222456842472241</v>
      </c>
      <c r="T130" s="71">
        <f t="shared" si="58"/>
        <v>4501.7235661716268</v>
      </c>
      <c r="U130" s="71">
        <f t="shared" si="59"/>
        <v>85532.747757260891</v>
      </c>
      <c r="V130" s="72">
        <f t="shared" si="56"/>
        <v>285.11340169237752</v>
      </c>
      <c r="W130" s="59">
        <f t="shared" si="57"/>
        <v>24386532.669168726</v>
      </c>
    </row>
    <row r="131" spans="1:23" x14ac:dyDescent="0.25">
      <c r="A131" s="20">
        <v>5</v>
      </c>
      <c r="B131" s="65">
        <f>Input!M43*'Actuarial balances'!D130</f>
        <v>1.2986156544572278</v>
      </c>
      <c r="C131" s="65">
        <f>Input!N43*('Actuarial balances'!D130-'Actuarial balances'!B131)</f>
        <v>40.516808419065512</v>
      </c>
      <c r="D131" s="65">
        <f t="shared" si="50"/>
        <v>769.81935996224456</v>
      </c>
      <c r="E131" s="66"/>
      <c r="F131" s="53">
        <f t="shared" si="52"/>
        <v>129.86156544572279</v>
      </c>
      <c r="G131" s="53">
        <f t="shared" si="53"/>
        <v>4051.680841906551</v>
      </c>
      <c r="H131" s="53">
        <f t="shared" si="51"/>
        <v>76981.935996224463</v>
      </c>
      <c r="R131" s="38">
        <f t="shared" si="54"/>
        <v>4</v>
      </c>
      <c r="S131" s="59">
        <f t="shared" si="55"/>
        <v>97.50733244327742</v>
      </c>
      <c r="T131" s="71">
        <f t="shared" si="58"/>
        <v>4271.762021240881</v>
      </c>
      <c r="U131" s="71">
        <f t="shared" si="59"/>
        <v>81163.478403576737</v>
      </c>
      <c r="V131" s="72">
        <f t="shared" si="56"/>
        <v>382.87695172582119</v>
      </c>
      <c r="W131" s="59">
        <f t="shared" si="57"/>
        <v>31075625.202625982</v>
      </c>
    </row>
    <row r="132" spans="1:23" x14ac:dyDescent="0.25">
      <c r="A132" s="20">
        <v>6</v>
      </c>
      <c r="B132" s="65">
        <f>Input!M44*'Actuarial balances'!D131</f>
        <v>1.0777471039471425</v>
      </c>
      <c r="C132" s="65">
        <f>Input!N44*('Actuarial balances'!D131-'Actuarial balances'!B132)</f>
        <v>38.437080642914879</v>
      </c>
      <c r="D132" s="65">
        <f t="shared" si="50"/>
        <v>730.30453221538255</v>
      </c>
      <c r="E132" s="66"/>
      <c r="F132" s="53">
        <f t="shared" si="52"/>
        <v>107.77471039471425</v>
      </c>
      <c r="G132" s="53">
        <f t="shared" si="53"/>
        <v>3843.708064291488</v>
      </c>
      <c r="H132" s="53">
        <f t="shared" si="51"/>
        <v>73030.45322153825</v>
      </c>
      <c r="R132" s="38">
        <f t="shared" si="54"/>
        <v>5</v>
      </c>
      <c r="S132" s="59">
        <f t="shared" si="55"/>
        <v>129.86156544572279</v>
      </c>
      <c r="T132" s="71">
        <f t="shared" si="58"/>
        <v>4051.680841906551</v>
      </c>
      <c r="U132" s="71">
        <f t="shared" si="59"/>
        <v>76981.935996224463</v>
      </c>
      <c r="V132" s="72">
        <f t="shared" si="56"/>
        <v>482.18839785834894</v>
      </c>
      <c r="W132" s="59">
        <f t="shared" si="57"/>
        <v>37119796.382053435</v>
      </c>
    </row>
    <row r="133" spans="1:23" x14ac:dyDescent="0.25">
      <c r="A133" s="20">
        <v>7</v>
      </c>
      <c r="B133" s="65">
        <f>Input!M45*'Actuarial balances'!D132</f>
        <v>1.1538811609003043</v>
      </c>
      <c r="C133" s="65">
        <f>Input!N45*('Actuarial balances'!D132-'Actuarial balances'!B133)</f>
        <v>36.457532552724118</v>
      </c>
      <c r="D133" s="65">
        <f t="shared" si="50"/>
        <v>692.69311850175814</v>
      </c>
      <c r="E133" s="66"/>
      <c r="F133" s="53">
        <f t="shared" si="52"/>
        <v>115.38811609003044</v>
      </c>
      <c r="G133" s="53">
        <f t="shared" si="53"/>
        <v>3645.7532552724119</v>
      </c>
      <c r="H133" s="53">
        <f t="shared" si="51"/>
        <v>69269.3118501758</v>
      </c>
      <c r="R133" s="38">
        <f t="shared" si="54"/>
        <v>6</v>
      </c>
      <c r="S133" s="59">
        <f t="shared" si="55"/>
        <v>107.77471039471425</v>
      </c>
      <c r="T133" s="71">
        <f t="shared" si="58"/>
        <v>3843.708064291488</v>
      </c>
      <c r="U133" s="71">
        <f t="shared" si="59"/>
        <v>73030.453221538264</v>
      </c>
      <c r="V133" s="72">
        <f t="shared" si="56"/>
        <v>583.1479275815758</v>
      </c>
      <c r="W133" s="59">
        <f t="shared" si="57"/>
        <v>42587557.446483254</v>
      </c>
    </row>
    <row r="134" spans="1:23" x14ac:dyDescent="0.25">
      <c r="A134" s="20">
        <v>8</v>
      </c>
      <c r="B134" s="65">
        <f>Input!M46*'Actuarial balances'!D133</f>
        <v>1.2329937509331295</v>
      </c>
      <c r="C134" s="65">
        <f>Input!N46*('Actuarial balances'!D133-'Actuarial balances'!B134)</f>
        <v>34.57300623754125</v>
      </c>
      <c r="D134" s="65">
        <f t="shared" si="50"/>
        <v>656.88711851328378</v>
      </c>
      <c r="E134" s="66"/>
      <c r="F134" s="53">
        <f t="shared" si="52"/>
        <v>123.29937509331295</v>
      </c>
      <c r="G134" s="53">
        <f t="shared" si="53"/>
        <v>3457.3006237541249</v>
      </c>
      <c r="H134" s="53">
        <f t="shared" si="51"/>
        <v>65688.711851328364</v>
      </c>
      <c r="R134" s="38">
        <f t="shared" si="54"/>
        <v>7</v>
      </c>
      <c r="S134" s="59">
        <f t="shared" si="55"/>
        <v>115.38811609003044</v>
      </c>
      <c r="T134" s="71">
        <f t="shared" si="58"/>
        <v>3645.7532552724119</v>
      </c>
      <c r="U134" s="71">
        <f t="shared" si="59"/>
        <v>69269.311850175814</v>
      </c>
      <c r="V134" s="72">
        <f t="shared" si="56"/>
        <v>685.79615189340575</v>
      </c>
      <c r="W134" s="59">
        <f t="shared" si="57"/>
        <v>47504627.51115486</v>
      </c>
    </row>
    <row r="135" spans="1:23" x14ac:dyDescent="0.25">
      <c r="A135" s="20">
        <v>9</v>
      </c>
      <c r="B135" s="65">
        <f>Input!M47*'Actuarial balances'!D134</f>
        <v>1.3203431082117005</v>
      </c>
      <c r="C135" s="65">
        <f>Input!N47*('Actuarial balances'!D134-'Actuarial balances'!B135)</f>
        <v>32.778338770253605</v>
      </c>
      <c r="D135" s="65">
        <f t="shared" si="50"/>
        <v>622.78843663481848</v>
      </c>
      <c r="E135" s="66"/>
      <c r="F135" s="53">
        <f t="shared" si="52"/>
        <v>132.03431082117007</v>
      </c>
      <c r="G135" s="53">
        <f t="shared" si="53"/>
        <v>3277.8338770253604</v>
      </c>
      <c r="H135" s="53">
        <f t="shared" si="51"/>
        <v>62278.843663481835</v>
      </c>
      <c r="R135" s="38">
        <f t="shared" si="54"/>
        <v>8</v>
      </c>
      <c r="S135" s="59">
        <f t="shared" si="55"/>
        <v>123.29937509331295</v>
      </c>
      <c r="T135" s="71">
        <f t="shared" si="58"/>
        <v>3457.3006237541249</v>
      </c>
      <c r="U135" s="71">
        <f t="shared" si="59"/>
        <v>65688.711851328379</v>
      </c>
      <c r="V135" s="72">
        <f t="shared" si="56"/>
        <v>790.2302032535124</v>
      </c>
      <c r="W135" s="59">
        <f t="shared" si="57"/>
        <v>51909204.11773663</v>
      </c>
    </row>
    <row r="136" spans="1:23" x14ac:dyDescent="0.25">
      <c r="A136" s="20">
        <v>10</v>
      </c>
      <c r="B136" s="65">
        <f>Input!M48*'Actuarial balances'!D135</f>
        <v>1.3950460980619932</v>
      </c>
      <c r="C136" s="65">
        <f>Input!N48*('Actuarial balances'!D135-'Actuarial balances'!B136)</f>
        <v>621.39339053675644</v>
      </c>
      <c r="D136" s="65">
        <f t="shared" si="50"/>
        <v>0</v>
      </c>
      <c r="E136" s="66"/>
      <c r="F136" s="53">
        <f t="shared" si="52"/>
        <v>139.50460980619931</v>
      </c>
      <c r="G136" s="53">
        <f t="shared" si="53"/>
        <v>62139.339053675641</v>
      </c>
      <c r="H136" s="53">
        <f t="shared" si="51"/>
        <v>0</v>
      </c>
      <c r="R136" s="38">
        <f t="shared" si="54"/>
        <v>9</v>
      </c>
      <c r="S136" s="59">
        <f t="shared" si="55"/>
        <v>132.03431082117007</v>
      </c>
      <c r="T136" s="71">
        <f t="shared" si="58"/>
        <v>3277.8338770253604</v>
      </c>
      <c r="U136" s="71">
        <f t="shared" si="59"/>
        <v>62278.84366348185</v>
      </c>
      <c r="V136" s="72">
        <f t="shared" si="56"/>
        <v>896.56172399088166</v>
      </c>
      <c r="W136" s="59">
        <f t="shared" si="57"/>
        <v>55836827.44308988</v>
      </c>
    </row>
    <row r="137" spans="1:23" x14ac:dyDescent="0.25">
      <c r="B137" s="65"/>
      <c r="C137" s="65"/>
      <c r="D137" s="65"/>
      <c r="E137" s="65"/>
      <c r="F137" s="65"/>
      <c r="G137" s="65"/>
      <c r="H137" s="65"/>
      <c r="R137" s="38">
        <f t="shared" si="54"/>
        <v>10</v>
      </c>
      <c r="S137" s="59">
        <f t="shared" si="55"/>
        <v>139.50460980619931</v>
      </c>
      <c r="T137" s="71">
        <f t="shared" si="58"/>
        <v>62139.339053675641</v>
      </c>
      <c r="U137" s="71">
        <f t="shared" si="59"/>
        <v>9.1517904365900904E-12</v>
      </c>
      <c r="V137" s="72">
        <f t="shared" si="56"/>
        <v>0</v>
      </c>
      <c r="W137" s="59">
        <f t="shared" si="57"/>
        <v>0</v>
      </c>
    </row>
    <row r="138" spans="1:23" x14ac:dyDescent="0.25">
      <c r="A138" s="3"/>
    </row>
    <row r="140" spans="1:23" x14ac:dyDescent="0.25">
      <c r="B140" s="67"/>
    </row>
    <row r="141" spans="1:23" x14ac:dyDescent="0.25">
      <c r="C141" s="44"/>
      <c r="D141" s="44"/>
      <c r="G141" s="44"/>
      <c r="H141" s="44"/>
    </row>
    <row r="142" spans="1:23" x14ac:dyDescent="0.25">
      <c r="A142" s="44"/>
      <c r="B142" s="44"/>
      <c r="C142" s="44"/>
      <c r="D142" s="44"/>
      <c r="F142" s="44"/>
      <c r="G142" s="44"/>
      <c r="H142" s="44"/>
      <c r="I142" s="44"/>
      <c r="J142" s="44"/>
      <c r="K142" s="44"/>
      <c r="L142" s="44"/>
    </row>
    <row r="143" spans="1:23" x14ac:dyDescent="0.25">
      <c r="A143" s="2"/>
      <c r="B143" s="2"/>
      <c r="C143" s="2"/>
      <c r="D143" s="2"/>
      <c r="E143" s="2"/>
      <c r="F143" s="2"/>
      <c r="G143" s="2"/>
      <c r="H143" s="2"/>
      <c r="I143" s="2"/>
      <c r="J143" s="2"/>
      <c r="K143" s="2"/>
      <c r="L143" s="2"/>
    </row>
    <row r="144" spans="1:23" x14ac:dyDescent="0.25">
      <c r="A144" s="44"/>
    </row>
    <row r="145" spans="1:12" x14ac:dyDescent="0.25">
      <c r="A145" s="44"/>
      <c r="B145" s="48"/>
      <c r="C145" s="56"/>
      <c r="D145" s="57"/>
      <c r="E145" s="68"/>
      <c r="F145" s="68"/>
      <c r="G145" s="68"/>
      <c r="H145" s="68"/>
      <c r="I145" s="68"/>
      <c r="J145" s="68"/>
      <c r="K145" s="68"/>
      <c r="L145" s="68"/>
    </row>
    <row r="146" spans="1:12" x14ac:dyDescent="0.25">
      <c r="A146" s="44"/>
      <c r="B146" s="48"/>
      <c r="C146" s="56"/>
      <c r="D146" s="56"/>
      <c r="E146" s="68"/>
      <c r="F146" s="68"/>
      <c r="G146" s="68"/>
      <c r="H146" s="68"/>
      <c r="I146" s="68"/>
      <c r="J146" s="68"/>
      <c r="K146" s="68"/>
      <c r="L146" s="68"/>
    </row>
    <row r="147" spans="1:12" x14ac:dyDescent="0.25">
      <c r="A147" s="44"/>
      <c r="B147" s="48"/>
      <c r="C147" s="56"/>
      <c r="D147" s="56"/>
      <c r="E147" s="68"/>
      <c r="F147" s="68"/>
      <c r="G147" s="68"/>
      <c r="H147" s="68"/>
      <c r="I147" s="68"/>
      <c r="J147" s="68"/>
      <c r="K147" s="68"/>
      <c r="L147" s="68"/>
    </row>
    <row r="148" spans="1:12" x14ac:dyDescent="0.25">
      <c r="A148" s="44"/>
      <c r="B148" s="48"/>
      <c r="C148" s="56"/>
      <c r="D148" s="56"/>
      <c r="E148" s="68"/>
      <c r="F148" s="68"/>
      <c r="G148" s="68"/>
      <c r="H148" s="68"/>
      <c r="I148" s="68"/>
      <c r="J148" s="68"/>
      <c r="K148" s="68"/>
      <c r="L148" s="68"/>
    </row>
    <row r="149" spans="1:12" x14ac:dyDescent="0.25">
      <c r="A149" s="44"/>
      <c r="B149" s="48"/>
      <c r="C149" s="56"/>
      <c r="D149" s="56"/>
      <c r="E149" s="68"/>
      <c r="F149" s="68"/>
      <c r="G149" s="68"/>
      <c r="H149" s="68"/>
      <c r="I149" s="68"/>
      <c r="J149" s="68"/>
      <c r="K149" s="68"/>
      <c r="L149" s="68"/>
    </row>
    <row r="150" spans="1:12" x14ac:dyDescent="0.25">
      <c r="A150" s="44"/>
      <c r="B150" s="48"/>
      <c r="C150" s="56"/>
      <c r="D150" s="56"/>
      <c r="E150" s="68"/>
      <c r="F150" s="68"/>
      <c r="G150" s="68"/>
      <c r="H150" s="68"/>
      <c r="I150" s="68"/>
      <c r="J150" s="68"/>
      <c r="K150" s="68"/>
      <c r="L150" s="68"/>
    </row>
    <row r="151" spans="1:12" x14ac:dyDescent="0.25">
      <c r="A151" s="44"/>
      <c r="B151" s="48"/>
      <c r="C151" s="56"/>
      <c r="D151" s="56"/>
      <c r="E151" s="68"/>
      <c r="F151" s="68"/>
      <c r="G151" s="68"/>
      <c r="H151" s="68"/>
      <c r="I151" s="68"/>
      <c r="J151" s="68"/>
      <c r="K151" s="68"/>
      <c r="L151" s="68"/>
    </row>
    <row r="152" spans="1:12" x14ac:dyDescent="0.25">
      <c r="A152" s="44"/>
      <c r="B152" s="48"/>
      <c r="C152" s="56"/>
      <c r="D152" s="56"/>
      <c r="E152" s="68"/>
      <c r="F152" s="68"/>
      <c r="G152" s="68"/>
      <c r="H152" s="68"/>
      <c r="I152" s="68"/>
      <c r="J152" s="68"/>
      <c r="K152" s="68"/>
      <c r="L152" s="68"/>
    </row>
    <row r="153" spans="1:12" x14ac:dyDescent="0.25">
      <c r="A153" s="44"/>
      <c r="B153" s="48"/>
      <c r="C153" s="56"/>
      <c r="D153" s="56"/>
      <c r="E153" s="68"/>
      <c r="F153" s="68"/>
      <c r="G153" s="68"/>
      <c r="H153" s="68"/>
      <c r="I153" s="68"/>
      <c r="J153" s="68"/>
      <c r="K153" s="68"/>
      <c r="L153" s="68"/>
    </row>
    <row r="154" spans="1:12" x14ac:dyDescent="0.25">
      <c r="A154" s="44"/>
      <c r="B154" s="48"/>
      <c r="C154" s="56"/>
      <c r="D154" s="56"/>
      <c r="E154" s="68"/>
      <c r="F154" s="68"/>
      <c r="G154" s="68"/>
      <c r="H154" s="68"/>
      <c r="I154" s="68"/>
      <c r="J154" s="68"/>
      <c r="K154" s="68"/>
      <c r="L154" s="68"/>
    </row>
    <row r="155" spans="1:12" x14ac:dyDescent="0.25">
      <c r="B155" s="65"/>
      <c r="C155" s="65"/>
      <c r="D155" s="65"/>
      <c r="F155" s="68"/>
      <c r="G155" s="65"/>
      <c r="H155" s="65"/>
    </row>
    <row r="156" spans="1:12" x14ac:dyDescent="0.25">
      <c r="A156" s="44"/>
      <c r="B156" s="65"/>
      <c r="C156" s="65"/>
      <c r="D156" s="65"/>
      <c r="F156" s="68"/>
      <c r="G156" s="65"/>
      <c r="H156" s="68"/>
      <c r="L156" s="62"/>
    </row>
    <row r="157" spans="1:12" x14ac:dyDescent="0.25">
      <c r="B157" s="65"/>
      <c r="C157" s="65"/>
      <c r="D157" s="65"/>
      <c r="G157" s="65"/>
      <c r="H157" s="69"/>
      <c r="I157" s="65"/>
      <c r="J157" s="65"/>
      <c r="L157" s="69"/>
    </row>
    <row r="158" spans="1:12" x14ac:dyDescent="0.25">
      <c r="B158" s="65"/>
      <c r="C158" s="65"/>
      <c r="D158" s="65"/>
      <c r="E158" s="65"/>
      <c r="F158" s="65"/>
      <c r="G158" s="65"/>
      <c r="H158" s="65"/>
    </row>
    <row r="159" spans="1:12" x14ac:dyDescent="0.25">
      <c r="B159" s="65"/>
      <c r="C159" s="65"/>
      <c r="D159" s="65"/>
      <c r="E159" s="65"/>
      <c r="F159" s="69"/>
      <c r="G159" s="65"/>
      <c r="H159" s="65"/>
    </row>
    <row r="160" spans="1:12" x14ac:dyDescent="0.25">
      <c r="B160" s="65"/>
      <c r="C160" s="65"/>
      <c r="D160" s="65"/>
      <c r="E160" s="65"/>
      <c r="F160" s="65"/>
      <c r="G160" s="65"/>
      <c r="H160" s="65"/>
    </row>
    <row r="161" spans="1:13" x14ac:dyDescent="0.25">
      <c r="A161" s="3" t="s">
        <v>116</v>
      </c>
      <c r="B161" s="68"/>
      <c r="C161" s="70"/>
      <c r="D161" s="68"/>
      <c r="E161" s="68"/>
      <c r="F161" s="65"/>
      <c r="G161" s="65"/>
      <c r="H161" s="3"/>
    </row>
    <row r="162" spans="1:13" x14ac:dyDescent="0.25">
      <c r="A162" s="3"/>
      <c r="B162" s="68"/>
      <c r="C162" s="70"/>
      <c r="D162" s="68"/>
      <c r="E162" s="68"/>
      <c r="F162" s="65"/>
      <c r="G162" s="65"/>
      <c r="H162" s="65"/>
    </row>
    <row r="163" spans="1:13" x14ac:dyDescent="0.25">
      <c r="A163" s="44"/>
      <c r="B163" s="44" t="s">
        <v>117</v>
      </c>
      <c r="C163" s="44" t="s">
        <v>118</v>
      </c>
      <c r="D163" s="44" t="s">
        <v>119</v>
      </c>
      <c r="E163" s="44" t="s">
        <v>117</v>
      </c>
      <c r="G163" s="44"/>
      <c r="H163" s="44"/>
    </row>
    <row r="164" spans="1:13" x14ac:dyDescent="0.25">
      <c r="A164" s="44" t="s">
        <v>122</v>
      </c>
      <c r="B164" s="44" t="s">
        <v>60</v>
      </c>
      <c r="C164" s="44" t="s">
        <v>60</v>
      </c>
      <c r="D164" s="44" t="s">
        <v>120</v>
      </c>
      <c r="E164" s="44" t="s">
        <v>120</v>
      </c>
      <c r="F164" s="44"/>
      <c r="G164" s="44"/>
      <c r="H164" s="44"/>
      <c r="I164" s="44"/>
      <c r="J164" s="44"/>
      <c r="K164" s="44"/>
      <c r="M164" s="44"/>
    </row>
    <row r="165" spans="1:13" x14ac:dyDescent="0.25">
      <c r="A165" s="2" t="s">
        <v>1</v>
      </c>
      <c r="B165" s="2" t="s">
        <v>121</v>
      </c>
      <c r="C165" s="2" t="s">
        <v>121</v>
      </c>
      <c r="D165" s="2" t="s">
        <v>121</v>
      </c>
      <c r="E165" s="2" t="s">
        <v>121</v>
      </c>
      <c r="F165" s="2"/>
      <c r="G165" s="2"/>
      <c r="H165" s="2"/>
      <c r="I165" s="2"/>
      <c r="J165" s="2"/>
      <c r="K165" s="2"/>
      <c r="M165" s="2"/>
    </row>
    <row r="166" spans="1:13" x14ac:dyDescent="0.25">
      <c r="A166" s="44"/>
      <c r="B166" s="68">
        <f>F54</f>
        <v>0</v>
      </c>
      <c r="C166" s="70">
        <f>H14</f>
        <v>100000</v>
      </c>
      <c r="D166" s="70">
        <f>H126</f>
        <v>100000</v>
      </c>
      <c r="E166" s="68">
        <f>B166*D166/C166</f>
        <v>0</v>
      </c>
      <c r="F166" s="68"/>
    </row>
    <row r="167" spans="1:13" x14ac:dyDescent="0.25">
      <c r="A167" s="44">
        <v>1</v>
      </c>
      <c r="B167" s="68">
        <f t="shared" ref="B167:B176" si="60">F55</f>
        <v>9363388.9558123127</v>
      </c>
      <c r="C167" s="70">
        <f t="shared" ref="C167:C176" si="61">H15</f>
        <v>99874</v>
      </c>
      <c r="D167" s="70">
        <f t="shared" ref="D167:D176" si="62">H127</f>
        <v>94940.15</v>
      </c>
      <c r="E167" s="68">
        <f t="shared" ref="E167:E175" si="63">B167*D167/C167</f>
        <v>8900830.5662451126</v>
      </c>
      <c r="F167" s="68"/>
      <c r="G167" s="62"/>
      <c r="H167" s="68"/>
      <c r="I167" s="68"/>
      <c r="J167" s="68"/>
      <c r="K167" s="68"/>
      <c r="L167" s="68"/>
    </row>
    <row r="168" spans="1:13" x14ac:dyDescent="0.25">
      <c r="A168" s="44">
        <v>2</v>
      </c>
      <c r="B168" s="68">
        <f t="shared" si="60"/>
        <v>18827466.155877486</v>
      </c>
      <c r="C168" s="70">
        <f t="shared" si="61"/>
        <v>99720.194040000002</v>
      </c>
      <c r="D168" s="70">
        <f t="shared" si="62"/>
        <v>90123.693780274989</v>
      </c>
      <c r="E168" s="68">
        <f t="shared" si="63"/>
        <v>17015618.660049628</v>
      </c>
      <c r="F168" s="68"/>
      <c r="G168" s="62"/>
      <c r="H168" s="68"/>
      <c r="I168" s="68"/>
      <c r="J168" s="68"/>
      <c r="K168" s="68"/>
      <c r="L168" s="68"/>
    </row>
    <row r="169" spans="1:13" x14ac:dyDescent="0.25">
      <c r="A169" s="44">
        <v>3</v>
      </c>
      <c r="B169" s="68">
        <f t="shared" si="60"/>
        <v>28375269.243962817</v>
      </c>
      <c r="C169" s="70">
        <f t="shared" si="61"/>
        <v>99522.748055800796</v>
      </c>
      <c r="D169" s="70">
        <f t="shared" si="62"/>
        <v>85532.747757260891</v>
      </c>
      <c r="E169" s="68">
        <f t="shared" si="63"/>
        <v>24386532.669168726</v>
      </c>
      <c r="F169" s="68"/>
      <c r="G169" s="62"/>
      <c r="H169" s="68"/>
      <c r="I169" s="68"/>
      <c r="J169" s="68"/>
      <c r="K169" s="68"/>
      <c r="L169" s="68"/>
    </row>
    <row r="170" spans="1:13" x14ac:dyDescent="0.25">
      <c r="A170" s="44">
        <v>4</v>
      </c>
      <c r="B170" s="68">
        <f t="shared" si="60"/>
        <v>38018087.079583108</v>
      </c>
      <c r="C170" s="70">
        <f t="shared" si="61"/>
        <v>99295.836190233575</v>
      </c>
      <c r="D170" s="70">
        <f t="shared" si="62"/>
        <v>81163.478403576737</v>
      </c>
      <c r="E170" s="68">
        <f t="shared" si="63"/>
        <v>31075625.202625982</v>
      </c>
      <c r="F170" s="68"/>
      <c r="G170" s="62"/>
      <c r="H170" s="68"/>
      <c r="I170" s="68"/>
      <c r="J170" s="68"/>
      <c r="K170" s="68"/>
      <c r="L170" s="68"/>
    </row>
    <row r="171" spans="1:13" x14ac:dyDescent="0.25">
      <c r="A171" s="44">
        <v>5</v>
      </c>
      <c r="B171" s="68">
        <f t="shared" si="60"/>
        <v>47756729.158147365</v>
      </c>
      <c r="C171" s="70">
        <f t="shared" si="61"/>
        <v>99041.638849586583</v>
      </c>
      <c r="D171" s="70">
        <f t="shared" si="62"/>
        <v>76981.935996224463</v>
      </c>
      <c r="E171" s="68">
        <f t="shared" si="63"/>
        <v>37119796.382053435</v>
      </c>
      <c r="F171" s="68"/>
      <c r="G171" s="62"/>
      <c r="H171" s="68"/>
      <c r="I171" s="68"/>
      <c r="J171" s="68"/>
      <c r="K171" s="68"/>
      <c r="L171" s="68"/>
    </row>
    <row r="172" spans="1:13" x14ac:dyDescent="0.25">
      <c r="A172" s="44">
        <v>6</v>
      </c>
      <c r="B172" s="68">
        <f t="shared" si="60"/>
        <v>57594209.845388919</v>
      </c>
      <c r="C172" s="70">
        <f t="shared" si="61"/>
        <v>98764.322260807734</v>
      </c>
      <c r="D172" s="70">
        <f t="shared" si="62"/>
        <v>73030.45322153825</v>
      </c>
      <c r="E172" s="68">
        <f t="shared" si="63"/>
        <v>42587557.446483247</v>
      </c>
      <c r="F172" s="68"/>
      <c r="G172" s="62"/>
      <c r="H172" s="68"/>
      <c r="I172" s="68"/>
      <c r="J172" s="68"/>
      <c r="K172" s="68"/>
      <c r="L172" s="68"/>
    </row>
    <row r="173" spans="1:13" x14ac:dyDescent="0.25">
      <c r="A173" s="44">
        <v>7</v>
      </c>
      <c r="B173" s="68">
        <f t="shared" si="60"/>
        <v>67518158.423625574</v>
      </c>
      <c r="C173" s="70">
        <f t="shared" si="61"/>
        <v>98452.22700246358</v>
      </c>
      <c r="D173" s="70">
        <f t="shared" si="62"/>
        <v>69269.3118501758</v>
      </c>
      <c r="E173" s="68">
        <f t="shared" si="63"/>
        <v>47504627.511154853</v>
      </c>
      <c r="F173" s="68"/>
      <c r="G173" s="62"/>
      <c r="H173" s="68"/>
      <c r="I173" s="68"/>
      <c r="J173" s="68"/>
      <c r="K173" s="68"/>
      <c r="L173" s="68"/>
    </row>
    <row r="174" spans="1:13" x14ac:dyDescent="0.25">
      <c r="A174" s="44">
        <v>8</v>
      </c>
      <c r="B174" s="68">
        <f t="shared" si="60"/>
        <v>77522955.627774239</v>
      </c>
      <c r="C174" s="70">
        <f t="shared" si="61"/>
        <v>98101.737074334815</v>
      </c>
      <c r="D174" s="70">
        <f t="shared" si="62"/>
        <v>65688.711851328364</v>
      </c>
      <c r="E174" s="68">
        <f t="shared" si="63"/>
        <v>51909204.11773663</v>
      </c>
      <c r="F174" s="68"/>
      <c r="G174" s="62"/>
      <c r="H174" s="68"/>
      <c r="I174" s="68"/>
      <c r="J174" s="68"/>
      <c r="K174" s="68"/>
      <c r="L174" s="68"/>
    </row>
    <row r="175" spans="1:13" x14ac:dyDescent="0.25">
      <c r="A175" s="44">
        <v>9</v>
      </c>
      <c r="B175" s="68">
        <f t="shared" si="60"/>
        <v>87600686.382543981</v>
      </c>
      <c r="C175" s="70">
        <f t="shared" si="61"/>
        <v>97707.368091295983</v>
      </c>
      <c r="D175" s="70">
        <f t="shared" si="62"/>
        <v>62278.843663481835</v>
      </c>
      <c r="E175" s="68">
        <f t="shared" si="63"/>
        <v>55836827.443089873</v>
      </c>
      <c r="F175" s="68"/>
      <c r="G175" s="62"/>
      <c r="H175" s="68"/>
      <c r="I175" s="68"/>
      <c r="J175" s="68"/>
      <c r="K175" s="68"/>
      <c r="L175" s="68"/>
    </row>
    <row r="176" spans="1:13" x14ac:dyDescent="0.25">
      <c r="A176" s="44">
        <v>10</v>
      </c>
      <c r="B176" s="68">
        <f t="shared" si="60"/>
        <v>0</v>
      </c>
      <c r="C176" s="70">
        <f t="shared" si="61"/>
        <v>0</v>
      </c>
      <c r="D176" s="70">
        <f t="shared" si="62"/>
        <v>0</v>
      </c>
      <c r="E176" s="68">
        <v>0</v>
      </c>
      <c r="F176" s="68"/>
      <c r="G176" s="62"/>
      <c r="H176" s="68"/>
      <c r="I176" s="68"/>
      <c r="J176" s="68"/>
      <c r="K176" s="68"/>
      <c r="L176" s="68"/>
    </row>
    <row r="177" spans="1:24" x14ac:dyDescent="0.25">
      <c r="B177" s="65"/>
      <c r="C177" s="65"/>
      <c r="D177" s="65"/>
      <c r="E177" s="65"/>
      <c r="F177" s="65"/>
      <c r="G177" s="65"/>
      <c r="H177" s="65"/>
    </row>
    <row r="178" spans="1:24" x14ac:dyDescent="0.25">
      <c r="A178" s="3" t="s">
        <v>13</v>
      </c>
    </row>
    <row r="179" spans="1:24" x14ac:dyDescent="0.25">
      <c r="A179" s="3"/>
    </row>
    <row r="180" spans="1:24" x14ac:dyDescent="0.25">
      <c r="A180" s="3"/>
      <c r="F180" s="44" t="s">
        <v>19</v>
      </c>
    </row>
    <row r="181" spans="1:24" x14ac:dyDescent="0.25">
      <c r="B181" s="44"/>
      <c r="C181" s="44" t="s">
        <v>25</v>
      </c>
      <c r="D181" s="44" t="s">
        <v>18</v>
      </c>
      <c r="F181" s="44" t="s">
        <v>85</v>
      </c>
      <c r="G181" s="44" t="s">
        <v>19</v>
      </c>
    </row>
    <row r="182" spans="1:24" x14ac:dyDescent="0.25">
      <c r="A182" s="44" t="s">
        <v>0</v>
      </c>
      <c r="B182" s="44" t="s">
        <v>25</v>
      </c>
      <c r="C182" s="44" t="s">
        <v>35</v>
      </c>
      <c r="D182" s="44" t="s">
        <v>25</v>
      </c>
      <c r="E182" s="44" t="s">
        <v>64</v>
      </c>
      <c r="F182" s="44" t="s">
        <v>90</v>
      </c>
      <c r="G182" s="44" t="s">
        <v>83</v>
      </c>
    </row>
    <row r="183" spans="1:24" x14ac:dyDescent="0.25">
      <c r="A183" s="2" t="s">
        <v>1</v>
      </c>
      <c r="B183" s="2" t="s">
        <v>6</v>
      </c>
      <c r="C183" s="2" t="s">
        <v>36</v>
      </c>
      <c r="D183" s="2" t="s">
        <v>36</v>
      </c>
      <c r="E183" s="2" t="s">
        <v>34</v>
      </c>
      <c r="F183" s="2" t="s">
        <v>91</v>
      </c>
      <c r="G183" s="2" t="s">
        <v>1</v>
      </c>
    </row>
    <row r="184" spans="1:24" x14ac:dyDescent="0.25">
      <c r="E184" s="53"/>
    </row>
    <row r="185" spans="1:24" x14ac:dyDescent="0.25">
      <c r="A185" s="20">
        <v>1</v>
      </c>
      <c r="B185" s="53">
        <f>B91</f>
        <v>7419999.9999999991</v>
      </c>
      <c r="C185" s="53">
        <f>Input!I39*'Actuarial balances'!D126</f>
        <v>100000</v>
      </c>
      <c r="D185" s="53">
        <f>B185+C185</f>
        <v>7519999.9999999991</v>
      </c>
      <c r="E185" s="53"/>
      <c r="F185" s="69"/>
      <c r="G185" s="53">
        <f>D$91*F185</f>
        <v>0</v>
      </c>
    </row>
    <row r="186" spans="1:24" x14ac:dyDescent="0.25">
      <c r="A186" s="20">
        <v>2</v>
      </c>
      <c r="B186" s="53">
        <f>Input!G40*'Actuarial balances'!E146</f>
        <v>0</v>
      </c>
      <c r="C186" s="53">
        <v>0</v>
      </c>
      <c r="D186" s="53">
        <f t="shared" ref="D186:D194" si="64">B186+C186</f>
        <v>0</v>
      </c>
      <c r="E186" s="53"/>
      <c r="F186" s="69"/>
      <c r="G186" s="53">
        <f>D$91*F186</f>
        <v>0</v>
      </c>
    </row>
    <row r="187" spans="1:24" x14ac:dyDescent="0.25">
      <c r="A187" s="20">
        <v>3</v>
      </c>
      <c r="B187" s="53">
        <f>Input!G41*'Actuarial balances'!E147</f>
        <v>0</v>
      </c>
      <c r="C187" s="53">
        <v>0</v>
      </c>
      <c r="D187" s="53">
        <f t="shared" si="64"/>
        <v>0</v>
      </c>
      <c r="E187" s="53"/>
      <c r="F187" s="69"/>
      <c r="G187" s="53">
        <f>D$91*F187</f>
        <v>0</v>
      </c>
      <c r="R187" s="20" t="s">
        <v>163</v>
      </c>
    </row>
    <row r="188" spans="1:24" x14ac:dyDescent="0.25">
      <c r="A188" s="20">
        <v>4</v>
      </c>
      <c r="B188" s="53">
        <f>Input!G42*'Actuarial balances'!E148</f>
        <v>0</v>
      </c>
      <c r="C188" s="53">
        <v>0</v>
      </c>
      <c r="D188" s="53">
        <f t="shared" si="64"/>
        <v>0</v>
      </c>
      <c r="E188" s="53">
        <f t="shared" ref="E188:E194" si="65">H130</f>
        <v>81163.478403576737</v>
      </c>
      <c r="F188" s="69"/>
      <c r="G188" s="53">
        <f>D$91*F188</f>
        <v>0</v>
      </c>
      <c r="R188" s="30" t="s">
        <v>0</v>
      </c>
      <c r="S188" s="30" t="s">
        <v>25</v>
      </c>
      <c r="T188" s="30" t="s">
        <v>64</v>
      </c>
      <c r="U188" s="30" t="s">
        <v>148</v>
      </c>
      <c r="V188" s="30" t="s">
        <v>19</v>
      </c>
      <c r="W188" s="30" t="s">
        <v>19</v>
      </c>
      <c r="X188" s="30" t="s">
        <v>13</v>
      </c>
    </row>
    <row r="189" spans="1:24" x14ac:dyDescent="0.25">
      <c r="A189" s="20">
        <v>5</v>
      </c>
      <c r="B189" s="53">
        <f>Input!G43*'Actuarial balances'!E149</f>
        <v>0</v>
      </c>
      <c r="C189" s="53">
        <v>0</v>
      </c>
      <c r="D189" s="53">
        <f t="shared" si="64"/>
        <v>0</v>
      </c>
      <c r="E189" s="53">
        <f t="shared" si="65"/>
        <v>76981.935996224463</v>
      </c>
      <c r="F189" s="69">
        <f>E188/E$196</f>
        <v>0.18945160070035594</v>
      </c>
      <c r="G189" s="53">
        <f>D$206*F189</f>
        <v>763974.67709664663</v>
      </c>
      <c r="R189" s="36" t="s">
        <v>1</v>
      </c>
      <c r="S189" s="36" t="s">
        <v>36</v>
      </c>
      <c r="T189" s="36" t="s">
        <v>150</v>
      </c>
      <c r="U189" s="36" t="s">
        <v>149</v>
      </c>
      <c r="V189" s="36" t="s">
        <v>151</v>
      </c>
      <c r="W189" s="36" t="s">
        <v>152</v>
      </c>
      <c r="X189" s="36" t="s">
        <v>138</v>
      </c>
    </row>
    <row r="190" spans="1:24" x14ac:dyDescent="0.25">
      <c r="A190" s="20">
        <v>6</v>
      </c>
      <c r="B190" s="53">
        <f>Input!G44*'Actuarial balances'!E150</f>
        <v>0</v>
      </c>
      <c r="C190" s="53">
        <v>0</v>
      </c>
      <c r="D190" s="53">
        <f t="shared" si="64"/>
        <v>0</v>
      </c>
      <c r="E190" s="53">
        <f t="shared" si="65"/>
        <v>73030.45322153825</v>
      </c>
      <c r="F190" s="69">
        <f t="shared" ref="F190:F194" si="66">E189/E$196</f>
        <v>0.17969105423227361</v>
      </c>
      <c r="G190" s="53">
        <f t="shared" ref="G190:G194" si="67">D$206*F190</f>
        <v>724614.70173262735</v>
      </c>
      <c r="R190" s="38">
        <f>A188</f>
        <v>4</v>
      </c>
      <c r="S190" s="71">
        <f>D191</f>
        <v>0</v>
      </c>
      <c r="T190" s="71"/>
      <c r="U190" s="71"/>
      <c r="V190" s="74"/>
      <c r="W190" s="58"/>
      <c r="X190" s="71">
        <f>X93</f>
        <v>4032558.5757651045</v>
      </c>
    </row>
    <row r="191" spans="1:24" x14ac:dyDescent="0.25">
      <c r="A191" s="20">
        <v>7</v>
      </c>
      <c r="B191" s="53">
        <f>Input!G45*'Actuarial balances'!E151</f>
        <v>0</v>
      </c>
      <c r="C191" s="53">
        <v>0</v>
      </c>
      <c r="D191" s="53">
        <f t="shared" si="64"/>
        <v>0</v>
      </c>
      <c r="E191" s="53">
        <f t="shared" si="65"/>
        <v>69269.3118501758</v>
      </c>
      <c r="F191" s="69">
        <f t="shared" si="66"/>
        <v>0.17046751241853098</v>
      </c>
      <c r="G191" s="53">
        <f t="shared" si="67"/>
        <v>687420.22909269156</v>
      </c>
      <c r="R191" s="38">
        <f t="shared" ref="R191:R195" si="68">A189</f>
        <v>5</v>
      </c>
      <c r="S191" s="71">
        <f t="shared" ref="S191:S196" si="69">D192</f>
        <v>0</v>
      </c>
      <c r="T191" s="71">
        <f>E188</f>
        <v>81163.478403576737</v>
      </c>
      <c r="U191" s="71">
        <f>SUM(T191:$T$196)</f>
        <v>428412.73498632543</v>
      </c>
      <c r="V191" s="74">
        <f t="shared" ref="V191:V196" si="70">T191/U191</f>
        <v>0.18945160070035594</v>
      </c>
      <c r="W191" s="58">
        <f>V191*(S191+X190)</f>
        <v>763974.67709664663</v>
      </c>
      <c r="X191" s="71">
        <f>X190+S191-W191</f>
        <v>3268583.8986684578</v>
      </c>
    </row>
    <row r="192" spans="1:24" x14ac:dyDescent="0.25">
      <c r="A192" s="20">
        <v>8</v>
      </c>
      <c r="B192" s="53">
        <f>Input!G46*'Actuarial balances'!E152</f>
        <v>0</v>
      </c>
      <c r="C192" s="53">
        <v>0</v>
      </c>
      <c r="D192" s="53">
        <f t="shared" si="64"/>
        <v>0</v>
      </c>
      <c r="E192" s="53">
        <f t="shared" si="65"/>
        <v>65688.711851328364</v>
      </c>
      <c r="F192" s="69">
        <f t="shared" si="66"/>
        <v>0.16168826506146419</v>
      </c>
      <c r="G192" s="53">
        <f t="shared" si="67"/>
        <v>652017.3998741887</v>
      </c>
      <c r="R192" s="38">
        <f t="shared" si="68"/>
        <v>6</v>
      </c>
      <c r="S192" s="71">
        <f t="shared" si="69"/>
        <v>0</v>
      </c>
      <c r="T192" s="71">
        <f t="shared" ref="T192:T196" si="71">E189</f>
        <v>76981.935996224463</v>
      </c>
      <c r="U192" s="71">
        <f>SUM(T192:$T$196)</f>
        <v>347249.25658274873</v>
      </c>
      <c r="V192" s="74">
        <f t="shared" si="70"/>
        <v>0.2216907150609834</v>
      </c>
      <c r="W192" s="58">
        <f t="shared" ref="W192:W196" si="72">V192*(S192+X191)</f>
        <v>724614.70173262735</v>
      </c>
      <c r="X192" s="71">
        <f t="shared" ref="X192:X196" si="73">X191+S192-W192</f>
        <v>2543969.1969358306</v>
      </c>
    </row>
    <row r="193" spans="1:24" x14ac:dyDescent="0.25">
      <c r="A193" s="20">
        <v>9</v>
      </c>
      <c r="B193" s="53">
        <f>Input!G47*'Actuarial balances'!E153</f>
        <v>0</v>
      </c>
      <c r="C193" s="53">
        <v>0</v>
      </c>
      <c r="D193" s="53">
        <f t="shared" si="64"/>
        <v>0</v>
      </c>
      <c r="E193" s="53">
        <f t="shared" si="65"/>
        <v>62278.843663481835</v>
      </c>
      <c r="F193" s="69">
        <f t="shared" si="66"/>
        <v>0.15333043695217205</v>
      </c>
      <c r="G193" s="53">
        <f t="shared" si="67"/>
        <v>618313.96845729207</v>
      </c>
      <c r="R193" s="38">
        <f t="shared" si="68"/>
        <v>7</v>
      </c>
      <c r="S193" s="71">
        <f t="shared" si="69"/>
        <v>0</v>
      </c>
      <c r="T193" s="71">
        <f t="shared" si="71"/>
        <v>73030.45322153825</v>
      </c>
      <c r="U193" s="71">
        <f>SUM(T193:$T$196)</f>
        <v>270267.32058652426</v>
      </c>
      <c r="V193" s="74">
        <f t="shared" si="70"/>
        <v>0.27021562600705934</v>
      </c>
      <c r="W193" s="58">
        <f t="shared" si="72"/>
        <v>687420.22909269144</v>
      </c>
      <c r="X193" s="71">
        <f t="shared" si="73"/>
        <v>1856548.9678431391</v>
      </c>
    </row>
    <row r="194" spans="1:24" x14ac:dyDescent="0.25">
      <c r="A194" s="20">
        <v>10</v>
      </c>
      <c r="B194" s="53">
        <f>Input!G48*'Actuarial balances'!E154</f>
        <v>0</v>
      </c>
      <c r="C194" s="53">
        <v>0</v>
      </c>
      <c r="D194" s="53">
        <f t="shared" si="64"/>
        <v>0</v>
      </c>
      <c r="E194" s="53">
        <f t="shared" si="65"/>
        <v>0</v>
      </c>
      <c r="F194" s="69">
        <f t="shared" si="66"/>
        <v>0.14537113063520327</v>
      </c>
      <c r="G194" s="53">
        <f t="shared" si="67"/>
        <v>586217.59951165819</v>
      </c>
      <c r="R194" s="38">
        <f t="shared" si="68"/>
        <v>8</v>
      </c>
      <c r="S194" s="71">
        <f t="shared" si="69"/>
        <v>0</v>
      </c>
      <c r="T194" s="71">
        <f t="shared" si="71"/>
        <v>69269.3118501758</v>
      </c>
      <c r="U194" s="71">
        <f>SUM(T194:$T$196)</f>
        <v>197236.86736498598</v>
      </c>
      <c r="V194" s="74">
        <f t="shared" si="70"/>
        <v>0.35119860082746718</v>
      </c>
      <c r="W194" s="58">
        <f t="shared" si="72"/>
        <v>652017.39987418882</v>
      </c>
      <c r="X194" s="71">
        <f t="shared" si="73"/>
        <v>1204531.5679689501</v>
      </c>
    </row>
    <row r="195" spans="1:24" x14ac:dyDescent="0.25">
      <c r="B195" s="53"/>
      <c r="C195" s="53"/>
      <c r="D195" s="53"/>
      <c r="E195" s="53"/>
      <c r="F195" s="69"/>
      <c r="G195" s="53"/>
      <c r="R195" s="38">
        <f t="shared" si="68"/>
        <v>9</v>
      </c>
      <c r="S195" s="71">
        <f t="shared" si="69"/>
        <v>0</v>
      </c>
      <c r="T195" s="71">
        <f t="shared" si="71"/>
        <v>65688.711851328364</v>
      </c>
      <c r="U195" s="71">
        <f>SUM(T195:$T$196)</f>
        <v>127967.5555148102</v>
      </c>
      <c r="V195" s="74">
        <f t="shared" si="70"/>
        <v>0.51332317466770661</v>
      </c>
      <c r="W195" s="58">
        <f t="shared" si="72"/>
        <v>618313.96845729195</v>
      </c>
      <c r="X195" s="71">
        <f t="shared" si="73"/>
        <v>586217.59951165819</v>
      </c>
    </row>
    <row r="196" spans="1:24" x14ac:dyDescent="0.25">
      <c r="A196" s="44" t="s">
        <v>82</v>
      </c>
      <c r="B196" s="53"/>
      <c r="C196" s="53"/>
      <c r="D196" s="53"/>
      <c r="E196" s="53">
        <f>SUM(E188:E195)</f>
        <v>428412.73498632543</v>
      </c>
      <c r="F196" s="69"/>
      <c r="G196" s="53"/>
      <c r="R196" s="38">
        <f>A194</f>
        <v>10</v>
      </c>
      <c r="S196" s="71">
        <f t="shared" si="69"/>
        <v>0</v>
      </c>
      <c r="T196" s="71">
        <f t="shared" si="71"/>
        <v>62278.843663481835</v>
      </c>
      <c r="U196" s="71">
        <f>SUM(T196:$T$196)</f>
        <v>62278.843663481835</v>
      </c>
      <c r="V196" s="74">
        <f t="shared" si="70"/>
        <v>1</v>
      </c>
      <c r="W196" s="58">
        <f t="shared" si="72"/>
        <v>586217.59951165819</v>
      </c>
      <c r="X196" s="71">
        <f t="shared" si="73"/>
        <v>0</v>
      </c>
    </row>
    <row r="197" spans="1:24" x14ac:dyDescent="0.25">
      <c r="B197" s="53"/>
      <c r="C197" s="53"/>
      <c r="D197" s="53"/>
      <c r="E197" s="53"/>
      <c r="R197" s="38"/>
      <c r="S197" s="71"/>
      <c r="T197" s="71"/>
      <c r="U197" s="71"/>
      <c r="V197" s="74"/>
      <c r="W197" s="58"/>
      <c r="X197" s="71"/>
    </row>
    <row r="198" spans="1:24" x14ac:dyDescent="0.25">
      <c r="A198" s="3" t="s">
        <v>37</v>
      </c>
      <c r="E198" s="53"/>
      <c r="G198" s="53"/>
    </row>
    <row r="199" spans="1:24" x14ac:dyDescent="0.25">
      <c r="A199" s="3"/>
      <c r="R199" s="20" t="s">
        <v>155</v>
      </c>
      <c r="T199" s="68">
        <f>X94*T192/T95</f>
        <v>3267734.9700308638</v>
      </c>
    </row>
    <row r="200" spans="1:24" x14ac:dyDescent="0.25">
      <c r="B200" s="44"/>
      <c r="C200" s="44"/>
      <c r="D200" s="44" t="s">
        <v>13</v>
      </c>
    </row>
    <row r="201" spans="1:24" x14ac:dyDescent="0.25">
      <c r="B201" s="2" t="s">
        <v>38</v>
      </c>
      <c r="C201" s="2" t="s">
        <v>19</v>
      </c>
      <c r="D201" s="2" t="s">
        <v>34</v>
      </c>
      <c r="E201" s="6" t="s">
        <v>89</v>
      </c>
    </row>
    <row r="202" spans="1:24" x14ac:dyDescent="0.25">
      <c r="D202" s="53">
        <v>0</v>
      </c>
    </row>
    <row r="203" spans="1:24" x14ac:dyDescent="0.25">
      <c r="A203" s="20">
        <v>1</v>
      </c>
      <c r="B203" s="53">
        <f t="shared" ref="B203:B212" si="74">D185</f>
        <v>7519999.9999999991</v>
      </c>
      <c r="C203" s="53">
        <f>C109</f>
        <v>-941034.4034104991</v>
      </c>
      <c r="D203" s="53">
        <f>D202+B203+C203</f>
        <v>6578965.5965895001</v>
      </c>
      <c r="E203" s="20" t="s">
        <v>87</v>
      </c>
    </row>
    <row r="204" spans="1:24" x14ac:dyDescent="0.25">
      <c r="A204" s="20">
        <v>2</v>
      </c>
      <c r="B204" s="53">
        <f t="shared" si="74"/>
        <v>0</v>
      </c>
      <c r="C204" s="53">
        <f>C110</f>
        <v>-893419.47414953297</v>
      </c>
      <c r="D204" s="53">
        <f t="shared" ref="D204:D212" si="75">D203+B204+C204</f>
        <v>5685546.1224399675</v>
      </c>
      <c r="E204" s="20" t="s">
        <v>87</v>
      </c>
    </row>
    <row r="205" spans="1:24" x14ac:dyDescent="0.25">
      <c r="A205" s="20">
        <v>3</v>
      </c>
      <c r="B205" s="53">
        <f t="shared" si="74"/>
        <v>0</v>
      </c>
      <c r="C205" s="53">
        <f>C111</f>
        <v>-848094.96409671591</v>
      </c>
      <c r="D205" s="53">
        <f t="shared" si="75"/>
        <v>4837451.1583432518</v>
      </c>
      <c r="E205" s="20" t="s">
        <v>87</v>
      </c>
    </row>
    <row r="206" spans="1:24" x14ac:dyDescent="0.25">
      <c r="A206" s="20">
        <v>4</v>
      </c>
      <c r="B206" s="53">
        <f t="shared" si="74"/>
        <v>0</v>
      </c>
      <c r="C206" s="53">
        <f>C112</f>
        <v>-804892.58257814718</v>
      </c>
      <c r="D206" s="53">
        <f t="shared" si="75"/>
        <v>4032558.5757651045</v>
      </c>
      <c r="E206" s="20" t="s">
        <v>87</v>
      </c>
    </row>
    <row r="207" spans="1:24" x14ac:dyDescent="0.25">
      <c r="A207" s="20">
        <v>5</v>
      </c>
      <c r="B207" s="53">
        <f t="shared" si="74"/>
        <v>0</v>
      </c>
      <c r="C207" s="53">
        <f>-G189</f>
        <v>-763974.67709664663</v>
      </c>
      <c r="D207" s="53">
        <f t="shared" si="75"/>
        <v>3268583.8986684578</v>
      </c>
      <c r="E207" s="20" t="s">
        <v>88</v>
      </c>
    </row>
    <row r="208" spans="1:24" x14ac:dyDescent="0.25">
      <c r="A208" s="20">
        <v>6</v>
      </c>
      <c r="B208" s="53">
        <f t="shared" si="74"/>
        <v>0</v>
      </c>
      <c r="C208" s="53">
        <f t="shared" ref="C208:C212" si="76">-G190</f>
        <v>-724614.70173262735</v>
      </c>
      <c r="D208" s="53">
        <f t="shared" si="75"/>
        <v>2543969.1969358306</v>
      </c>
      <c r="E208" s="20" t="s">
        <v>88</v>
      </c>
    </row>
    <row r="209" spans="1:9" x14ac:dyDescent="0.25">
      <c r="A209" s="20">
        <v>7</v>
      </c>
      <c r="B209" s="53">
        <f t="shared" si="74"/>
        <v>0</v>
      </c>
      <c r="C209" s="53">
        <f t="shared" si="76"/>
        <v>-687420.22909269156</v>
      </c>
      <c r="D209" s="53">
        <f t="shared" si="75"/>
        <v>1856548.9678431391</v>
      </c>
      <c r="E209" s="20" t="s">
        <v>88</v>
      </c>
    </row>
    <row r="210" spans="1:9" x14ac:dyDescent="0.25">
      <c r="A210" s="20">
        <v>8</v>
      </c>
      <c r="B210" s="53">
        <f t="shared" si="74"/>
        <v>0</v>
      </c>
      <c r="C210" s="53">
        <f t="shared" si="76"/>
        <v>-652017.3998741887</v>
      </c>
      <c r="D210" s="53">
        <f t="shared" si="75"/>
        <v>1204531.5679689504</v>
      </c>
      <c r="E210" s="20" t="s">
        <v>88</v>
      </c>
    </row>
    <row r="211" spans="1:9" x14ac:dyDescent="0.25">
      <c r="A211" s="20">
        <v>9</v>
      </c>
      <c r="B211" s="53">
        <f t="shared" si="74"/>
        <v>0</v>
      </c>
      <c r="C211" s="53">
        <f t="shared" si="76"/>
        <v>-618313.96845729207</v>
      </c>
      <c r="D211" s="53">
        <f t="shared" si="75"/>
        <v>586217.59951165831</v>
      </c>
      <c r="E211" s="20" t="s">
        <v>88</v>
      </c>
    </row>
    <row r="212" spans="1:9" x14ac:dyDescent="0.25">
      <c r="A212" s="20">
        <v>10</v>
      </c>
      <c r="B212" s="53">
        <f t="shared" si="74"/>
        <v>0</v>
      </c>
      <c r="C212" s="53">
        <f t="shared" si="76"/>
        <v>-586217.59951165819</v>
      </c>
      <c r="D212" s="53">
        <f t="shared" si="75"/>
        <v>0</v>
      </c>
      <c r="E212" s="20" t="s">
        <v>88</v>
      </c>
    </row>
    <row r="214" spans="1:9" x14ac:dyDescent="0.25">
      <c r="A214" s="4"/>
    </row>
    <row r="216" spans="1:9" x14ac:dyDescent="0.25">
      <c r="A216" s="3"/>
      <c r="B216" s="3"/>
      <c r="C216" s="3"/>
      <c r="D216" s="3"/>
    </row>
    <row r="218" spans="1:9" x14ac:dyDescent="0.25">
      <c r="A218" s="44"/>
      <c r="B218" s="44"/>
      <c r="C218" s="44"/>
      <c r="D218" s="44"/>
      <c r="F218" s="44"/>
      <c r="G218" s="44"/>
      <c r="H218" s="44"/>
    </row>
    <row r="219" spans="1:9" x14ac:dyDescent="0.25">
      <c r="A219" s="2"/>
      <c r="B219" s="2"/>
      <c r="C219" s="2"/>
      <c r="D219" s="2"/>
      <c r="F219" s="2"/>
      <c r="G219" s="2"/>
      <c r="H219" s="2"/>
    </row>
    <row r="220" spans="1:9" x14ac:dyDescent="0.25">
      <c r="D220" s="65"/>
      <c r="H220" s="53"/>
    </row>
    <row r="221" spans="1:9" x14ac:dyDescent="0.25">
      <c r="B221" s="65"/>
      <c r="C221" s="65"/>
      <c r="D221" s="65"/>
      <c r="E221" s="66"/>
      <c r="F221" s="53"/>
      <c r="G221" s="53"/>
      <c r="H221" s="53"/>
      <c r="I221" s="53"/>
    </row>
    <row r="222" spans="1:9" x14ac:dyDescent="0.25">
      <c r="B222" s="65"/>
      <c r="C222" s="65"/>
      <c r="D222" s="65"/>
      <c r="E222" s="66"/>
      <c r="F222" s="53"/>
      <c r="G222" s="53"/>
      <c r="H222" s="53"/>
      <c r="I222" s="53"/>
    </row>
    <row r="223" spans="1:9" x14ac:dyDescent="0.25">
      <c r="B223" s="65"/>
      <c r="C223" s="65"/>
      <c r="D223" s="65"/>
      <c r="E223" s="66"/>
      <c r="F223" s="53"/>
      <c r="G223" s="53"/>
      <c r="H223" s="53"/>
      <c r="I223" s="53"/>
    </row>
    <row r="224" spans="1:9" x14ac:dyDescent="0.25">
      <c r="B224" s="65"/>
      <c r="C224" s="65"/>
      <c r="D224" s="65"/>
      <c r="E224" s="66"/>
      <c r="F224" s="53"/>
      <c r="G224" s="53"/>
      <c r="H224" s="53"/>
      <c r="I224" s="53"/>
    </row>
    <row r="225" spans="1:12" x14ac:dyDescent="0.25">
      <c r="B225" s="65"/>
      <c r="C225" s="65"/>
      <c r="D225" s="65"/>
      <c r="E225" s="66"/>
      <c r="F225" s="53"/>
      <c r="G225" s="53"/>
      <c r="H225" s="53"/>
      <c r="I225" s="53"/>
    </row>
    <row r="226" spans="1:12" x14ac:dyDescent="0.25">
      <c r="B226" s="65"/>
      <c r="C226" s="65"/>
      <c r="D226" s="65"/>
      <c r="E226" s="66"/>
      <c r="F226" s="53"/>
      <c r="G226" s="53"/>
      <c r="H226" s="53"/>
      <c r="I226" s="53"/>
    </row>
    <row r="227" spans="1:12" x14ac:dyDescent="0.25">
      <c r="B227" s="65"/>
      <c r="C227" s="65"/>
      <c r="D227" s="65"/>
      <c r="E227" s="66"/>
      <c r="F227" s="53"/>
      <c r="G227" s="53"/>
      <c r="H227" s="53"/>
      <c r="I227" s="53"/>
    </row>
    <row r="228" spans="1:12" x14ac:dyDescent="0.25">
      <c r="B228" s="65"/>
      <c r="C228" s="65"/>
      <c r="D228" s="65"/>
      <c r="E228" s="66"/>
      <c r="F228" s="53"/>
      <c r="G228" s="53"/>
      <c r="H228" s="53"/>
      <c r="I228" s="53"/>
    </row>
    <row r="229" spans="1:12" x14ac:dyDescent="0.25">
      <c r="B229" s="65"/>
      <c r="C229" s="65"/>
      <c r="D229" s="65"/>
      <c r="E229" s="66"/>
      <c r="F229" s="53"/>
      <c r="G229" s="53"/>
      <c r="H229" s="53"/>
      <c r="I229" s="53"/>
    </row>
    <row r="230" spans="1:12" x14ac:dyDescent="0.25">
      <c r="B230" s="65"/>
      <c r="C230" s="65"/>
      <c r="D230" s="65"/>
      <c r="E230" s="66"/>
      <c r="F230" s="53"/>
      <c r="G230" s="53"/>
      <c r="H230" s="53"/>
      <c r="I230" s="53"/>
    </row>
    <row r="231" spans="1:12" x14ac:dyDescent="0.25">
      <c r="B231" s="65"/>
      <c r="C231" s="65"/>
      <c r="D231" s="65"/>
      <c r="E231" s="65"/>
      <c r="F231" s="65"/>
      <c r="G231" s="65"/>
      <c r="H231" s="65"/>
    </row>
    <row r="232" spans="1:12" x14ac:dyDescent="0.25">
      <c r="A232" s="3"/>
    </row>
    <row r="234" spans="1:12" x14ac:dyDescent="0.25">
      <c r="B234" s="67"/>
    </row>
    <row r="235" spans="1:12" x14ac:dyDescent="0.25">
      <c r="C235" s="44"/>
      <c r="D235" s="44"/>
      <c r="G235" s="44"/>
      <c r="H235" s="44"/>
    </row>
    <row r="236" spans="1:12" x14ac:dyDescent="0.25">
      <c r="A236" s="44"/>
      <c r="B236" s="44"/>
      <c r="C236" s="44"/>
      <c r="D236" s="44"/>
      <c r="F236" s="44"/>
      <c r="G236" s="44"/>
      <c r="H236" s="44"/>
      <c r="I236" s="44"/>
      <c r="J236" s="44"/>
      <c r="K236" s="44"/>
      <c r="L236" s="44"/>
    </row>
    <row r="237" spans="1:12" x14ac:dyDescent="0.25">
      <c r="A237" s="2"/>
      <c r="B237" s="2"/>
      <c r="C237" s="2"/>
      <c r="D237" s="2"/>
      <c r="E237" s="2"/>
      <c r="F237" s="2"/>
      <c r="G237" s="2"/>
      <c r="H237" s="2"/>
      <c r="I237" s="2"/>
      <c r="J237" s="2"/>
      <c r="K237" s="2"/>
      <c r="L237" s="2"/>
    </row>
    <row r="238" spans="1:12" x14ac:dyDescent="0.25">
      <c r="A238" s="44"/>
    </row>
    <row r="239" spans="1:12" x14ac:dyDescent="0.25">
      <c r="A239" s="44"/>
      <c r="B239" s="48"/>
      <c r="C239" s="56"/>
      <c r="D239" s="57"/>
      <c r="E239" s="68"/>
      <c r="F239" s="68"/>
      <c r="G239" s="68"/>
      <c r="H239" s="68"/>
      <c r="I239" s="68"/>
      <c r="J239" s="68"/>
      <c r="K239" s="68"/>
      <c r="L239" s="68"/>
    </row>
    <row r="240" spans="1:12" x14ac:dyDescent="0.25">
      <c r="A240" s="44"/>
      <c r="B240" s="48"/>
      <c r="C240" s="56"/>
      <c r="D240" s="56"/>
      <c r="E240" s="68"/>
      <c r="F240" s="68"/>
      <c r="G240" s="68"/>
      <c r="H240" s="68"/>
      <c r="I240" s="68"/>
      <c r="J240" s="68"/>
      <c r="K240" s="68"/>
      <c r="L240" s="68"/>
    </row>
    <row r="241" spans="1:12" x14ac:dyDescent="0.25">
      <c r="A241" s="44"/>
      <c r="B241" s="48"/>
      <c r="C241" s="56"/>
      <c r="D241" s="56"/>
      <c r="E241" s="68"/>
      <c r="F241" s="68"/>
      <c r="G241" s="68"/>
      <c r="H241" s="68"/>
      <c r="I241" s="68"/>
      <c r="J241" s="68"/>
      <c r="K241" s="68"/>
      <c r="L241" s="68"/>
    </row>
    <row r="242" spans="1:12" x14ac:dyDescent="0.25">
      <c r="A242" s="44"/>
      <c r="B242" s="48"/>
      <c r="C242" s="56"/>
      <c r="D242" s="56"/>
      <c r="E242" s="68"/>
      <c r="F242" s="68"/>
      <c r="G242" s="68"/>
      <c r="H242" s="68"/>
      <c r="I242" s="68"/>
      <c r="J242" s="68"/>
      <c r="K242" s="68"/>
      <c r="L242" s="68"/>
    </row>
    <row r="243" spans="1:12" x14ac:dyDescent="0.25">
      <c r="A243" s="44"/>
      <c r="B243" s="48"/>
      <c r="C243" s="56"/>
      <c r="D243" s="56"/>
      <c r="E243" s="68"/>
      <c r="F243" s="68"/>
      <c r="G243" s="68"/>
      <c r="H243" s="68"/>
      <c r="I243" s="68"/>
      <c r="J243" s="68"/>
      <c r="K243" s="68"/>
      <c r="L243" s="68"/>
    </row>
    <row r="244" spans="1:12" x14ac:dyDescent="0.25">
      <c r="A244" s="44"/>
      <c r="B244" s="48"/>
      <c r="C244" s="56"/>
      <c r="D244" s="56"/>
      <c r="E244" s="68"/>
      <c r="F244" s="68"/>
      <c r="G244" s="68"/>
      <c r="H244" s="68"/>
      <c r="I244" s="68"/>
      <c r="J244" s="68"/>
      <c r="K244" s="68"/>
      <c r="L244" s="68"/>
    </row>
    <row r="245" spans="1:12" x14ac:dyDescent="0.25">
      <c r="A245" s="44"/>
      <c r="B245" s="48"/>
      <c r="C245" s="56"/>
      <c r="D245" s="56"/>
      <c r="E245" s="68"/>
      <c r="F245" s="68"/>
      <c r="G245" s="68"/>
      <c r="H245" s="68"/>
      <c r="I245" s="68"/>
      <c r="J245" s="68"/>
      <c r="K245" s="68"/>
      <c r="L245" s="68"/>
    </row>
    <row r="246" spans="1:12" x14ac:dyDescent="0.25">
      <c r="A246" s="44"/>
      <c r="B246" s="48"/>
      <c r="C246" s="56"/>
      <c r="D246" s="56"/>
      <c r="E246" s="68"/>
      <c r="F246" s="68"/>
      <c r="G246" s="68"/>
      <c r="H246" s="68"/>
      <c r="I246" s="68"/>
      <c r="J246" s="68"/>
      <c r="K246" s="68"/>
      <c r="L246" s="68"/>
    </row>
    <row r="247" spans="1:12" x14ac:dyDescent="0.25">
      <c r="A247" s="44"/>
      <c r="B247" s="48"/>
      <c r="C247" s="56"/>
      <c r="D247" s="56"/>
      <c r="E247" s="68"/>
      <c r="F247" s="68"/>
      <c r="G247" s="68"/>
      <c r="H247" s="68"/>
      <c r="I247" s="68"/>
      <c r="J247" s="68"/>
      <c r="K247" s="68"/>
      <c r="L247" s="68"/>
    </row>
    <row r="248" spans="1:12" x14ac:dyDescent="0.25">
      <c r="A248" s="44"/>
      <c r="B248" s="48"/>
      <c r="C248" s="56"/>
      <c r="D248" s="56"/>
      <c r="E248" s="68"/>
      <c r="F248" s="68"/>
      <c r="G248" s="68"/>
      <c r="H248" s="68"/>
      <c r="I248" s="68"/>
      <c r="J248" s="68"/>
      <c r="K248" s="68"/>
      <c r="L248" s="68"/>
    </row>
    <row r="249" spans="1:12" x14ac:dyDescent="0.25">
      <c r="B249" s="65"/>
      <c r="C249" s="65"/>
      <c r="D249" s="65"/>
      <c r="F249" s="68"/>
      <c r="G249" s="65"/>
      <c r="H249" s="65"/>
    </row>
    <row r="250" spans="1:12" x14ac:dyDescent="0.25">
      <c r="A250" s="44"/>
      <c r="B250" s="65"/>
      <c r="C250" s="65"/>
      <c r="D250" s="65"/>
      <c r="F250" s="68"/>
      <c r="G250" s="65"/>
      <c r="H250" s="68"/>
      <c r="L250" s="62"/>
    </row>
    <row r="251" spans="1:12" x14ac:dyDescent="0.25">
      <c r="B251" s="65"/>
      <c r="C251" s="65"/>
      <c r="D251" s="65"/>
      <c r="G251" s="65"/>
      <c r="H251" s="69"/>
      <c r="I251" s="65"/>
      <c r="J251" s="65"/>
      <c r="L251" s="69"/>
    </row>
    <row r="252" spans="1:12" x14ac:dyDescent="0.25">
      <c r="B252" s="65"/>
      <c r="C252" s="65"/>
      <c r="D252" s="65"/>
      <c r="E252" s="65"/>
      <c r="F252" s="65"/>
      <c r="G252" s="65"/>
      <c r="H252" s="65"/>
    </row>
    <row r="253" spans="1:12" x14ac:dyDescent="0.25">
      <c r="B253" s="65"/>
      <c r="C253" s="65"/>
      <c r="D253" s="65"/>
      <c r="E253" s="65"/>
      <c r="F253" s="69"/>
      <c r="G253" s="65"/>
      <c r="H253" s="65"/>
    </row>
    <row r="254" spans="1:12" x14ac:dyDescent="0.25">
      <c r="B254" s="65"/>
      <c r="C254" s="65"/>
      <c r="D254" s="65"/>
      <c r="E254" s="65"/>
      <c r="F254" s="65"/>
      <c r="G254" s="65"/>
      <c r="H254" s="65"/>
    </row>
    <row r="255" spans="1:12" x14ac:dyDescent="0.25">
      <c r="A255" s="3"/>
      <c r="B255" s="65"/>
      <c r="C255" s="65"/>
      <c r="D255" s="65"/>
      <c r="E255" s="65"/>
      <c r="F255" s="65"/>
      <c r="G255" s="65"/>
      <c r="H255" s="65"/>
    </row>
    <row r="256" spans="1:12" x14ac:dyDescent="0.25">
      <c r="B256" s="65"/>
      <c r="C256" s="65"/>
      <c r="D256" s="65"/>
      <c r="E256" s="65"/>
      <c r="F256" s="65"/>
      <c r="G256" s="65"/>
      <c r="H256" s="65"/>
    </row>
    <row r="257" spans="1:12" x14ac:dyDescent="0.25">
      <c r="C257" s="44"/>
      <c r="D257" s="44"/>
      <c r="G257" s="44"/>
      <c r="H257" s="44"/>
    </row>
    <row r="258" spans="1:12" x14ac:dyDescent="0.25">
      <c r="A258" s="44"/>
      <c r="B258" s="44"/>
      <c r="C258" s="44"/>
      <c r="D258" s="44"/>
      <c r="E258" s="44"/>
      <c r="F258" s="44"/>
      <c r="G258" s="44"/>
      <c r="H258" s="44"/>
      <c r="I258" s="44"/>
      <c r="J258" s="44"/>
      <c r="K258" s="44"/>
      <c r="L258" s="44"/>
    </row>
    <row r="259" spans="1:12" x14ac:dyDescent="0.25">
      <c r="A259" s="2"/>
      <c r="B259" s="2"/>
      <c r="C259" s="2"/>
      <c r="D259" s="2"/>
      <c r="E259" s="2"/>
      <c r="F259" s="2"/>
      <c r="G259" s="2"/>
      <c r="H259" s="2"/>
      <c r="I259" s="2"/>
      <c r="J259" s="2"/>
      <c r="K259" s="2"/>
      <c r="L259" s="2"/>
    </row>
    <row r="260" spans="1:12" x14ac:dyDescent="0.25">
      <c r="A260" s="44"/>
      <c r="F260" s="68"/>
    </row>
    <row r="261" spans="1:12" x14ac:dyDescent="0.25">
      <c r="A261" s="44"/>
      <c r="B261" s="68"/>
      <c r="C261" s="70"/>
      <c r="D261" s="68"/>
      <c r="E261" s="68"/>
      <c r="F261" s="68"/>
      <c r="G261" s="62"/>
      <c r="H261" s="68"/>
      <c r="I261" s="68"/>
      <c r="J261" s="68"/>
      <c r="K261" s="68"/>
      <c r="L261" s="68"/>
    </row>
    <row r="262" spans="1:12" x14ac:dyDescent="0.25">
      <c r="A262" s="44"/>
      <c r="B262" s="68"/>
      <c r="C262" s="70"/>
      <c r="D262" s="68"/>
      <c r="E262" s="68"/>
      <c r="F262" s="68"/>
      <c r="G262" s="62"/>
      <c r="H262" s="68"/>
      <c r="I262" s="68"/>
      <c r="J262" s="68"/>
      <c r="K262" s="68"/>
      <c r="L262" s="68"/>
    </row>
    <row r="263" spans="1:12" x14ac:dyDescent="0.25">
      <c r="A263" s="44"/>
      <c r="B263" s="68"/>
      <c r="C263" s="70"/>
      <c r="D263" s="68"/>
      <c r="E263" s="68"/>
      <c r="F263" s="68"/>
      <c r="G263" s="62"/>
      <c r="H263" s="68"/>
      <c r="I263" s="68"/>
      <c r="J263" s="68"/>
      <c r="K263" s="68"/>
      <c r="L263" s="68"/>
    </row>
    <row r="264" spans="1:12" x14ac:dyDescent="0.25">
      <c r="A264" s="44"/>
      <c r="B264" s="68"/>
      <c r="C264" s="70"/>
      <c r="D264" s="68"/>
      <c r="E264" s="68"/>
      <c r="F264" s="68"/>
      <c r="G264" s="62"/>
      <c r="H264" s="68"/>
      <c r="I264" s="68"/>
      <c r="J264" s="68"/>
      <c r="K264" s="68"/>
      <c r="L264" s="68"/>
    </row>
    <row r="265" spans="1:12" x14ac:dyDescent="0.25">
      <c r="A265" s="44"/>
      <c r="B265" s="68"/>
      <c r="C265" s="70"/>
      <c r="D265" s="68"/>
      <c r="E265" s="68"/>
      <c r="F265" s="68"/>
      <c r="G265" s="62"/>
      <c r="H265" s="68"/>
      <c r="I265" s="68"/>
      <c r="J265" s="68"/>
      <c r="K265" s="68"/>
      <c r="L265" s="68"/>
    </row>
    <row r="266" spans="1:12" x14ac:dyDescent="0.25">
      <c r="A266" s="44"/>
      <c r="B266" s="68"/>
      <c r="C266" s="70"/>
      <c r="D266" s="68"/>
      <c r="E266" s="68"/>
      <c r="F266" s="68"/>
      <c r="G266" s="62"/>
      <c r="H266" s="68"/>
      <c r="I266" s="68"/>
      <c r="J266" s="68"/>
      <c r="K266" s="68"/>
      <c r="L266" s="68"/>
    </row>
    <row r="267" spans="1:12" x14ac:dyDescent="0.25">
      <c r="A267" s="44"/>
      <c r="B267" s="68"/>
      <c r="C267" s="70"/>
      <c r="D267" s="68"/>
      <c r="E267" s="68"/>
      <c r="F267" s="68"/>
      <c r="G267" s="62"/>
      <c r="H267" s="68"/>
      <c r="I267" s="68"/>
      <c r="J267" s="68"/>
      <c r="K267" s="68"/>
      <c r="L267" s="68"/>
    </row>
    <row r="268" spans="1:12" x14ac:dyDescent="0.25">
      <c r="A268" s="44"/>
      <c r="B268" s="68"/>
      <c r="C268" s="70"/>
      <c r="D268" s="68"/>
      <c r="E268" s="68"/>
      <c r="F268" s="68"/>
      <c r="G268" s="62"/>
      <c r="H268" s="68"/>
      <c r="I268" s="68"/>
      <c r="J268" s="68"/>
      <c r="K268" s="68"/>
      <c r="L268" s="68"/>
    </row>
    <row r="269" spans="1:12" x14ac:dyDescent="0.25">
      <c r="A269" s="44"/>
      <c r="B269" s="68"/>
      <c r="C269" s="70"/>
      <c r="D269" s="68"/>
      <c r="E269" s="68"/>
      <c r="F269" s="68"/>
      <c r="G269" s="62"/>
      <c r="H269" s="68"/>
      <c r="I269" s="68"/>
      <c r="J269" s="68"/>
      <c r="K269" s="68"/>
      <c r="L269" s="68"/>
    </row>
    <row r="270" spans="1:12" x14ac:dyDescent="0.25">
      <c r="A270" s="44"/>
      <c r="B270" s="68"/>
      <c r="C270" s="70"/>
      <c r="D270" s="68"/>
      <c r="E270" s="68"/>
      <c r="F270" s="68"/>
      <c r="G270" s="62"/>
      <c r="H270" s="68"/>
      <c r="I270" s="68"/>
      <c r="J270" s="68"/>
      <c r="K270" s="68"/>
      <c r="L270" s="68"/>
    </row>
    <row r="271" spans="1:12" x14ac:dyDescent="0.25">
      <c r="B271" s="65"/>
      <c r="C271" s="65"/>
      <c r="D271" s="65"/>
      <c r="E271" s="65"/>
      <c r="F271" s="65"/>
      <c r="G271" s="65"/>
      <c r="H271" s="65"/>
    </row>
    <row r="272" spans="1:12" x14ac:dyDescent="0.25">
      <c r="A272" s="3"/>
    </row>
    <row r="273" spans="1:7" x14ac:dyDescent="0.25">
      <c r="A273" s="3"/>
    </row>
    <row r="274" spans="1:7" x14ac:dyDescent="0.25">
      <c r="A274" s="3"/>
      <c r="F274" s="44"/>
    </row>
    <row r="275" spans="1:7" x14ac:dyDescent="0.25">
      <c r="B275" s="44"/>
      <c r="C275" s="44"/>
      <c r="D275" s="44"/>
      <c r="F275" s="44"/>
      <c r="G275" s="44"/>
    </row>
    <row r="276" spans="1:7" x14ac:dyDescent="0.25">
      <c r="A276" s="44"/>
      <c r="B276" s="44"/>
      <c r="C276" s="44"/>
      <c r="D276" s="44"/>
      <c r="E276" s="44"/>
      <c r="F276" s="44"/>
      <c r="G276" s="44"/>
    </row>
    <row r="277" spans="1:7" x14ac:dyDescent="0.25">
      <c r="A277" s="2"/>
      <c r="B277" s="2"/>
      <c r="C277" s="2"/>
      <c r="D277" s="2"/>
      <c r="E277" s="2"/>
      <c r="F277" s="2"/>
      <c r="G277" s="2"/>
    </row>
    <row r="278" spans="1:7" x14ac:dyDescent="0.25">
      <c r="E278" s="53"/>
    </row>
    <row r="279" spans="1:7" x14ac:dyDescent="0.25">
      <c r="B279" s="53"/>
      <c r="C279" s="53"/>
      <c r="D279" s="53"/>
      <c r="E279" s="53"/>
      <c r="F279" s="69"/>
      <c r="G279" s="53"/>
    </row>
    <row r="280" spans="1:7" x14ac:dyDescent="0.25">
      <c r="B280" s="53"/>
      <c r="C280" s="53"/>
      <c r="D280" s="53"/>
      <c r="E280" s="53"/>
      <c r="F280" s="69"/>
      <c r="G280" s="53"/>
    </row>
    <row r="281" spans="1:7" x14ac:dyDescent="0.25">
      <c r="B281" s="53"/>
      <c r="C281" s="53"/>
      <c r="D281" s="53"/>
      <c r="E281" s="53"/>
      <c r="F281" s="69"/>
      <c r="G281" s="53"/>
    </row>
    <row r="282" spans="1:7" x14ac:dyDescent="0.25">
      <c r="B282" s="53"/>
      <c r="C282" s="53"/>
      <c r="D282" s="53"/>
      <c r="E282" s="53"/>
      <c r="F282" s="69"/>
      <c r="G282" s="53"/>
    </row>
    <row r="283" spans="1:7" x14ac:dyDescent="0.25">
      <c r="B283" s="53"/>
      <c r="C283" s="53"/>
      <c r="D283" s="53"/>
      <c r="E283" s="53"/>
      <c r="F283" s="69"/>
      <c r="G283" s="53"/>
    </row>
    <row r="284" spans="1:7" x14ac:dyDescent="0.25">
      <c r="B284" s="53"/>
      <c r="C284" s="53"/>
      <c r="D284" s="53"/>
      <c r="E284" s="53"/>
      <c r="F284" s="69"/>
      <c r="G284" s="53"/>
    </row>
    <row r="285" spans="1:7" x14ac:dyDescent="0.25">
      <c r="B285" s="53"/>
      <c r="C285" s="53"/>
      <c r="D285" s="53"/>
      <c r="E285" s="53"/>
      <c r="F285" s="69"/>
      <c r="G285" s="53"/>
    </row>
    <row r="286" spans="1:7" x14ac:dyDescent="0.25">
      <c r="B286" s="53"/>
      <c r="C286" s="53"/>
      <c r="D286" s="53"/>
      <c r="E286" s="53"/>
      <c r="F286" s="69"/>
      <c r="G286" s="53"/>
    </row>
    <row r="287" spans="1:7" x14ac:dyDescent="0.25">
      <c r="B287" s="53"/>
      <c r="C287" s="53"/>
      <c r="D287" s="53"/>
      <c r="E287" s="53"/>
      <c r="F287" s="69"/>
      <c r="G287" s="53"/>
    </row>
    <row r="288" spans="1:7" x14ac:dyDescent="0.25">
      <c r="B288" s="53"/>
      <c r="C288" s="53"/>
      <c r="D288" s="53"/>
      <c r="E288" s="53"/>
      <c r="F288" s="69"/>
      <c r="G288" s="53"/>
    </row>
    <row r="289" spans="1:7" x14ac:dyDescent="0.25">
      <c r="B289" s="53"/>
      <c r="C289" s="53"/>
      <c r="D289" s="53"/>
      <c r="E289" s="53"/>
      <c r="F289" s="69"/>
      <c r="G289" s="53"/>
    </row>
    <row r="290" spans="1:7" x14ac:dyDescent="0.25">
      <c r="A290" s="44"/>
      <c r="B290" s="53"/>
      <c r="C290" s="53"/>
      <c r="D290" s="53"/>
      <c r="E290" s="53"/>
      <c r="F290" s="69"/>
      <c r="G290" s="53"/>
    </row>
    <row r="291" spans="1:7" x14ac:dyDescent="0.25">
      <c r="B291" s="53"/>
      <c r="C291" s="53"/>
      <c r="D291" s="53"/>
      <c r="E291" s="53"/>
      <c r="F291" s="69"/>
      <c r="G291" s="53"/>
    </row>
    <row r="292" spans="1:7" x14ac:dyDescent="0.25">
      <c r="A292" s="3"/>
      <c r="F292" s="69"/>
      <c r="G292" s="53"/>
    </row>
    <row r="293" spans="1:7" x14ac:dyDescent="0.25">
      <c r="A293" s="3"/>
    </row>
    <row r="294" spans="1:7" x14ac:dyDescent="0.25">
      <c r="B294" s="44"/>
      <c r="C294" s="44"/>
      <c r="D294" s="44"/>
    </row>
    <row r="295" spans="1:7" x14ac:dyDescent="0.25">
      <c r="B295" s="2"/>
      <c r="C295" s="2"/>
      <c r="D295" s="2"/>
      <c r="E295" s="6"/>
    </row>
    <row r="296" spans="1:7" x14ac:dyDescent="0.25">
      <c r="D296" s="53"/>
    </row>
    <row r="297" spans="1:7" x14ac:dyDescent="0.25">
      <c r="B297" s="53"/>
      <c r="C297" s="53"/>
      <c r="D297" s="53"/>
    </row>
    <row r="298" spans="1:7" x14ac:dyDescent="0.25">
      <c r="B298" s="53"/>
      <c r="C298" s="53"/>
      <c r="D298" s="53"/>
    </row>
    <row r="299" spans="1:7" x14ac:dyDescent="0.25">
      <c r="B299" s="53"/>
      <c r="C299" s="53"/>
      <c r="D299" s="53"/>
    </row>
    <row r="300" spans="1:7" x14ac:dyDescent="0.25">
      <c r="B300" s="53"/>
      <c r="C300" s="53"/>
      <c r="D300" s="53"/>
    </row>
    <row r="301" spans="1:7" x14ac:dyDescent="0.25">
      <c r="B301" s="53"/>
      <c r="C301" s="53"/>
      <c r="D301" s="53"/>
    </row>
    <row r="302" spans="1:7" x14ac:dyDescent="0.25">
      <c r="B302" s="53"/>
      <c r="C302" s="53"/>
      <c r="D302" s="53"/>
    </row>
    <row r="303" spans="1:7" x14ac:dyDescent="0.25">
      <c r="B303" s="53"/>
      <c r="C303" s="53"/>
      <c r="D303" s="53"/>
    </row>
    <row r="304" spans="1:7" x14ac:dyDescent="0.25">
      <c r="B304" s="53"/>
      <c r="C304" s="53"/>
      <c r="D304" s="53"/>
    </row>
    <row r="305" spans="2:4" x14ac:dyDescent="0.25">
      <c r="B305" s="53"/>
      <c r="C305" s="53"/>
      <c r="D305" s="53"/>
    </row>
    <row r="306" spans="2:4" x14ac:dyDescent="0.25">
      <c r="B306" s="53"/>
      <c r="C306" s="53"/>
      <c r="D306" s="53"/>
    </row>
  </sheetData>
  <mergeCells count="1">
    <mergeCell ref="M29:O29"/>
  </mergeCells>
  <hyperlinks>
    <hyperlink ref="D68" r:id="rId1" display="Units@" xr:uid="{00000000-0004-0000-0200-000000000000}"/>
    <hyperlink ref="D163" r:id="rId2" display="Units@" xr:uid="{00000000-0004-0000-0200-000001000000}"/>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62"/>
  <sheetViews>
    <sheetView workbookViewId="0">
      <selection activeCell="O26" sqref="O26"/>
    </sheetView>
  </sheetViews>
  <sheetFormatPr defaultColWidth="8.7109375" defaultRowHeight="15" x14ac:dyDescent="0.25"/>
  <cols>
    <col min="1" max="1" width="6.5703125" style="20" customWidth="1"/>
    <col min="2" max="2" width="12.42578125" style="20" customWidth="1"/>
    <col min="3" max="3" width="11.42578125" style="20" bestFit="1" customWidth="1"/>
    <col min="4" max="4" width="10.85546875" style="20" customWidth="1"/>
    <col min="5" max="5" width="12.42578125" style="20" customWidth="1"/>
    <col min="6" max="6" width="11.5703125" style="20" bestFit="1" customWidth="1"/>
    <col min="7" max="7" width="11.5703125" style="20" customWidth="1"/>
    <col min="8" max="8" width="9.85546875" style="20" customWidth="1"/>
    <col min="9" max="9" width="9.140625" style="20" customWidth="1"/>
    <col min="10" max="10" width="10.5703125" style="20" customWidth="1"/>
    <col min="11" max="11" width="12.28515625" style="20" customWidth="1"/>
    <col min="12" max="12" width="11.42578125" style="20" customWidth="1"/>
    <col min="13" max="13" width="10" style="20" customWidth="1"/>
    <col min="14" max="14" width="8.7109375" style="20"/>
    <col min="15" max="15" width="11" style="20" bestFit="1" customWidth="1"/>
    <col min="16" max="16" width="11.5703125" style="20" bestFit="1" customWidth="1"/>
    <col min="17" max="17" width="8.7109375" style="20"/>
    <col min="18" max="18" width="11.5703125" style="20" bestFit="1" customWidth="1"/>
    <col min="19" max="19" width="11" style="20" bestFit="1" customWidth="1"/>
    <col min="20" max="16384" width="8.7109375" style="20"/>
  </cols>
  <sheetData>
    <row r="1" spans="1:19" x14ac:dyDescent="0.25">
      <c r="A1" s="21" t="s">
        <v>165</v>
      </c>
    </row>
    <row r="2" spans="1:19" x14ac:dyDescent="0.25">
      <c r="A2" s="19" t="s">
        <v>166</v>
      </c>
    </row>
    <row r="3" spans="1:19" x14ac:dyDescent="0.25">
      <c r="A3" s="23" t="s">
        <v>167</v>
      </c>
    </row>
    <row r="4" spans="1:19" x14ac:dyDescent="0.25">
      <c r="A4" s="24" t="s">
        <v>180</v>
      </c>
    </row>
    <row r="6" spans="1:19" x14ac:dyDescent="0.25">
      <c r="A6" s="1" t="s">
        <v>39</v>
      </c>
    </row>
    <row r="8" spans="1:19" x14ac:dyDescent="0.25">
      <c r="A8" s="1" t="s">
        <v>80</v>
      </c>
    </row>
    <row r="10" spans="1:19" x14ac:dyDescent="0.25">
      <c r="A10" s="76" t="s">
        <v>161</v>
      </c>
      <c r="B10" s="77"/>
      <c r="D10" s="77"/>
      <c r="E10" s="77"/>
      <c r="F10" s="77"/>
      <c r="H10" s="77"/>
      <c r="I10" s="77"/>
      <c r="J10" s="77"/>
      <c r="K10" s="77"/>
      <c r="L10" s="77"/>
      <c r="M10" s="77"/>
      <c r="O10" s="44"/>
      <c r="P10" s="44"/>
      <c r="R10" s="44"/>
    </row>
    <row r="11" spans="1:19" x14ac:dyDescent="0.25">
      <c r="A11" s="78" t="s">
        <v>0</v>
      </c>
      <c r="B11" s="78"/>
      <c r="C11" s="78" t="s">
        <v>7</v>
      </c>
      <c r="D11" s="78" t="s">
        <v>41</v>
      </c>
      <c r="E11" s="78" t="s">
        <v>11</v>
      </c>
      <c r="F11" s="78" t="s">
        <v>61</v>
      </c>
      <c r="G11" s="78" t="s">
        <v>45</v>
      </c>
      <c r="H11" s="78" t="s">
        <v>153</v>
      </c>
      <c r="I11" s="78" t="s">
        <v>124</v>
      </c>
      <c r="J11" s="78" t="s">
        <v>4</v>
      </c>
      <c r="K11" s="78" t="s">
        <v>128</v>
      </c>
      <c r="L11" s="78" t="s">
        <v>13</v>
      </c>
      <c r="M11" s="78" t="s">
        <v>44</v>
      </c>
      <c r="O11" s="44"/>
      <c r="P11" s="44"/>
      <c r="R11" s="44"/>
    </row>
    <row r="12" spans="1:19" x14ac:dyDescent="0.25">
      <c r="A12" s="79" t="s">
        <v>1</v>
      </c>
      <c r="B12" s="79" t="s">
        <v>4</v>
      </c>
      <c r="C12" s="79" t="s">
        <v>8</v>
      </c>
      <c r="D12" s="79" t="s">
        <v>42</v>
      </c>
      <c r="E12" s="79" t="s">
        <v>42</v>
      </c>
      <c r="F12" s="79" t="s">
        <v>43</v>
      </c>
      <c r="G12" s="79" t="s">
        <v>154</v>
      </c>
      <c r="H12" s="79" t="s">
        <v>36</v>
      </c>
      <c r="I12" s="79" t="s">
        <v>36</v>
      </c>
      <c r="J12" s="79" t="s">
        <v>55</v>
      </c>
      <c r="K12" s="79" t="s">
        <v>48</v>
      </c>
      <c r="L12" s="79" t="s">
        <v>19</v>
      </c>
      <c r="M12" s="79" t="s">
        <v>8</v>
      </c>
      <c r="O12" s="2"/>
      <c r="P12" s="2"/>
      <c r="R12" s="2"/>
    </row>
    <row r="13" spans="1:19" x14ac:dyDescent="0.25">
      <c r="A13" s="38"/>
      <c r="B13" s="39"/>
      <c r="C13" s="39"/>
      <c r="D13" s="39"/>
      <c r="E13" s="39"/>
      <c r="F13" s="39"/>
      <c r="G13" s="39"/>
      <c r="H13" s="39"/>
      <c r="I13" s="39"/>
      <c r="J13" s="39"/>
      <c r="K13" s="39"/>
      <c r="L13" s="39"/>
      <c r="M13" s="39"/>
      <c r="R13" s="62"/>
    </row>
    <row r="14" spans="1:19" x14ac:dyDescent="0.25">
      <c r="A14" s="38">
        <v>1</v>
      </c>
      <c r="B14" s="59">
        <f>'Actuarial balances'!Q14*Input!B18</f>
        <v>10600000</v>
      </c>
      <c r="C14" s="59">
        <f>'Invested asset rollforwards'!H16</f>
        <v>125162.50000000004</v>
      </c>
      <c r="D14" s="59">
        <f>-'Actuarial balances'!O15*1000</f>
        <v>-63000</v>
      </c>
      <c r="E14" s="59">
        <f>-'Actuarial balances'!P15*Input!P18</f>
        <v>0</v>
      </c>
      <c r="F14" s="59">
        <f>'Actuarial balances'!E71-'Actuarial balances'!E72</f>
        <v>-8900830.5662451126</v>
      </c>
      <c r="G14" s="59">
        <f>-(Input!H18-Input!I18)*'Actuarial balances'!D14</f>
        <v>-100000</v>
      </c>
      <c r="H14" s="59">
        <f>-Input!J39*'Actuarial balances'!M14</f>
        <v>-35000</v>
      </c>
      <c r="I14" s="59">
        <f>-'Actuarial balances'!K15*Input!K18</f>
        <v>-630</v>
      </c>
      <c r="J14" s="59">
        <f>-B14*Input!L18</f>
        <v>-238500</v>
      </c>
      <c r="K14" s="59">
        <f>-'Actuarial balances'!Q14*'CSV and dividend determination'!K37</f>
        <v>0</v>
      </c>
      <c r="L14" s="59">
        <f>'Actuarial balances'!C109</f>
        <v>-941034.4034104991</v>
      </c>
      <c r="M14" s="59">
        <f t="shared" ref="M14:M23" si="0">SUM(B14:L14)</f>
        <v>446167.53034438833</v>
      </c>
      <c r="O14" s="62"/>
      <c r="P14" s="62"/>
      <c r="Q14" s="28"/>
      <c r="R14" s="62"/>
      <c r="S14" s="62"/>
    </row>
    <row r="15" spans="1:19" x14ac:dyDescent="0.25">
      <c r="A15" s="38">
        <v>2</v>
      </c>
      <c r="B15" s="59">
        <f>'Actuarial balances'!Q15*Input!B19</f>
        <v>10063655.899999999</v>
      </c>
      <c r="C15" s="59">
        <f>'Invested asset rollforwards'!H17</f>
        <v>524944.15753448848</v>
      </c>
      <c r="D15" s="59">
        <f>-'Actuarial balances'!O16*1000</f>
        <v>-73103.915500000003</v>
      </c>
      <c r="E15" s="59">
        <f>-'Actuarial balances'!P16*Input!P19</f>
        <v>-494846.8435109721</v>
      </c>
      <c r="F15" s="59">
        <f>'Actuarial balances'!E72-'Actuarial balances'!E73</f>
        <v>-8114788.0938045159</v>
      </c>
      <c r="G15" s="59">
        <v>0</v>
      </c>
      <c r="H15" s="59">
        <f>-Input!J40*'Actuarial balances'!M15</f>
        <v>-33893.633549999999</v>
      </c>
      <c r="I15" s="59">
        <f>-'Actuarial balances'!K16*Input!K19</f>
        <v>-731.03915499999994</v>
      </c>
      <c r="J15" s="59">
        <f>-B15*Input!L19</f>
        <v>-226432.25774999996</v>
      </c>
      <c r="K15" s="59">
        <f>-'Actuarial balances'!Q15*'CSV and dividend determination'!K38</f>
        <v>-341139.60173965519</v>
      </c>
      <c r="L15" s="59">
        <f>'Actuarial balances'!C110</f>
        <v>-893419.47414953297</v>
      </c>
      <c r="M15" s="59">
        <f t="shared" si="0"/>
        <v>410245.19837480981</v>
      </c>
      <c r="O15" s="62"/>
      <c r="P15" s="62"/>
      <c r="Q15" s="28"/>
      <c r="R15" s="62"/>
    </row>
    <row r="16" spans="1:19" x14ac:dyDescent="0.25">
      <c r="A16" s="38">
        <v>3</v>
      </c>
      <c r="B16" s="59">
        <f>'Actuarial balances'!Q16*Input!B20</f>
        <v>9553111.5407091491</v>
      </c>
      <c r="C16" s="59">
        <f>'Invested asset rollforwards'!H18</f>
        <v>886140.57354979066</v>
      </c>
      <c r="D16" s="59">
        <f>-'Actuarial balances'!O17*1000</f>
        <v>-89222.456842472238</v>
      </c>
      <c r="E16" s="59">
        <f>-'Actuarial balances'!P17*Input!P20</f>
        <v>-945490.85153257463</v>
      </c>
      <c r="F16" s="59">
        <f>'Actuarial balances'!E73-'Actuarial balances'!E74</f>
        <v>-7370914.0091191009</v>
      </c>
      <c r="G16" s="59">
        <v>0</v>
      </c>
      <c r="H16" s="59">
        <f>-Input!J41*'Actuarial balances'!M16</f>
        <v>-32817.64185314934</v>
      </c>
      <c r="I16" s="59">
        <f>-'Actuarial balances'!K17*Input!K20</f>
        <v>-892.22456842472241</v>
      </c>
      <c r="J16" s="59">
        <f>-B16*Input!L20</f>
        <v>-214945.00966595585</v>
      </c>
      <c r="K16" s="59">
        <f>-'Actuarial balances'!Q16*'CSV and dividend determination'!K39</f>
        <v>-590683.61678943178</v>
      </c>
      <c r="L16" s="59">
        <f>'Actuarial balances'!C111</f>
        <v>-848094.96409671591</v>
      </c>
      <c r="M16" s="59">
        <f t="shared" si="0"/>
        <v>346191.33979111351</v>
      </c>
      <c r="O16" s="62"/>
      <c r="P16" s="62"/>
      <c r="Q16" s="28"/>
      <c r="R16" s="62"/>
    </row>
    <row r="17" spans="1:18" x14ac:dyDescent="0.25">
      <c r="A17" s="38">
        <v>4</v>
      </c>
      <c r="B17" s="59">
        <f>'Actuarial balances'!Q17*Input!B21</f>
        <v>9066471.2622696552</v>
      </c>
      <c r="C17" s="59">
        <f>'Invested asset rollforwards'!H19</f>
        <v>1214810.818318336</v>
      </c>
      <c r="D17" s="59">
        <f>-'Actuarial balances'!O18*1000</f>
        <v>-97507.332443277424</v>
      </c>
      <c r="E17" s="59">
        <f>-'Actuarial balances'!P18*Input!P21</f>
        <v>-1355541.984443431</v>
      </c>
      <c r="F17" s="59">
        <f>'Actuarial balances'!E74-'Actuarial balances'!E75</f>
        <v>-6689092.5334572494</v>
      </c>
      <c r="G17" s="59">
        <v>0</v>
      </c>
      <c r="H17" s="59">
        <f>-Input!J42*'Actuarial balances'!M17</f>
        <v>-31768.81266369556</v>
      </c>
      <c r="I17" s="59">
        <f>-'Actuarial balances'!K18*Input!K21</f>
        <v>-975.07332443277414</v>
      </c>
      <c r="J17" s="59">
        <f>-B17*Input!L21</f>
        <v>-203995.60340106723</v>
      </c>
      <c r="K17" s="59">
        <f>-'Actuarial balances'!Q17*'CSV and dividend determination'!K40</f>
        <v>-809053.55363827874</v>
      </c>
      <c r="L17" s="59">
        <f>'Actuarial balances'!C112</f>
        <v>-804892.58257814718</v>
      </c>
      <c r="M17" s="59">
        <f t="shared" si="0"/>
        <v>288454.60463840968</v>
      </c>
      <c r="O17" s="62"/>
      <c r="P17" s="62"/>
      <c r="Q17" s="28"/>
      <c r="R17" s="62"/>
    </row>
    <row r="18" spans="1:18" x14ac:dyDescent="0.25">
      <c r="A18" s="38">
        <v>5</v>
      </c>
      <c r="B18" s="59">
        <f>'Actuarial balances'!Q18*Input!B22</f>
        <v>8603328.7107791342</v>
      </c>
      <c r="C18" s="59">
        <f>'Invested asset rollforwards'!H20</f>
        <v>1513664.9742059833</v>
      </c>
      <c r="D18" s="59">
        <f>-'Actuarial balances'!O19*1000</f>
        <v>-103889.25235657823</v>
      </c>
      <c r="E18" s="59">
        <f>-'Actuarial balances'!P19*Input!P22</f>
        <v>-1727870.6439564298</v>
      </c>
      <c r="F18" s="59">
        <f>'Actuarial balances'!E75-'Actuarial balances'!E76</f>
        <v>-6056068.5500627346</v>
      </c>
      <c r="G18" s="59">
        <v>0</v>
      </c>
      <c r="H18" s="59">
        <f>-Input!J43*'Actuarial balances'!M18</f>
        <v>-30748.885734523923</v>
      </c>
      <c r="I18" s="59">
        <f>-'Actuarial balances'!K19*Input!K22</f>
        <v>-1038.8925235657823</v>
      </c>
      <c r="J18" s="59">
        <f>-B18*Input!L22</f>
        <v>-193574.89599253051</v>
      </c>
      <c r="K18" s="59">
        <f>-'Actuarial balances'!Q18*'CSV and dividend determination'!K41</f>
        <v>-1003887.0643936034</v>
      </c>
      <c r="L18" s="59">
        <f>'Actuarial balances'!C113</f>
        <v>-763776.25478230766</v>
      </c>
      <c r="M18" s="59">
        <f t="shared" si="0"/>
        <v>236139.245182844</v>
      </c>
      <c r="O18" s="62"/>
      <c r="P18" s="62"/>
      <c r="Q18" s="28"/>
      <c r="R18" s="62"/>
    </row>
    <row r="19" spans="1:18" x14ac:dyDescent="0.25">
      <c r="A19" s="38">
        <v>6</v>
      </c>
      <c r="B19" s="59">
        <f>'Actuarial balances'!Q19*Input!B23</f>
        <v>8162700.6275278702</v>
      </c>
      <c r="C19" s="59">
        <f>'Invested asset rollforwards'!H21</f>
        <v>1784823.8174151371</v>
      </c>
      <c r="D19" s="59">
        <f>-'Actuarial balances'!O20*1000</f>
        <v>-107809.25357112281</v>
      </c>
      <c r="E19" s="59">
        <f>-'Actuarial balances'!P20*Input!P23</f>
        <v>-2065207.5839277434</v>
      </c>
      <c r="F19" s="59">
        <f>'Actuarial balances'!E76-'Actuarial balances'!E77</f>
        <v>-5469513.5519504696</v>
      </c>
      <c r="G19" s="59">
        <v>0</v>
      </c>
      <c r="H19" s="59">
        <f>-Input!J44*'Actuarial balances'!M19</f>
        <v>-29757.531818799438</v>
      </c>
      <c r="I19" s="59">
        <f>-'Actuarial balances'!K20*Input!K23</f>
        <v>-1078.092535711228</v>
      </c>
      <c r="J19" s="59">
        <f>-B19*Input!L23</f>
        <v>-183660.76411937707</v>
      </c>
      <c r="K19" s="59">
        <f>-'Actuarial balances'!Q19*'CSV and dividend determination'!K42</f>
        <v>-1176961.6674566085</v>
      </c>
      <c r="L19" s="59">
        <f>'Actuarial balances'!C114</f>
        <v>-724658.69011737697</v>
      </c>
      <c r="M19" s="59">
        <f t="shared" si="0"/>
        <v>188877.30944579828</v>
      </c>
      <c r="O19" s="62"/>
      <c r="P19" s="62"/>
      <c r="Q19" s="28"/>
      <c r="R19" s="62"/>
    </row>
    <row r="20" spans="1:18" x14ac:dyDescent="0.25">
      <c r="A20" s="38">
        <v>7</v>
      </c>
      <c r="B20" s="59">
        <f>'Actuarial balances'!Q20*Input!B24</f>
        <v>7743709.2043168647</v>
      </c>
      <c r="C20" s="59">
        <f>'Invested asset rollforwards'!H22</f>
        <v>2030309.9234500998</v>
      </c>
      <c r="D20" s="59">
        <f>-'Actuarial balances'!O21*1000</f>
        <v>-115425.09946057212</v>
      </c>
      <c r="E20" s="59">
        <f>-'Actuarial balances'!P21*Input!P24</f>
        <v>-2369686.833130823</v>
      </c>
      <c r="F20" s="59">
        <f>'Actuarial balances'!E77-'Actuarial balances'!E78</f>
        <v>-4918646.0486667007</v>
      </c>
      <c r="G20" s="59">
        <v>0</v>
      </c>
      <c r="H20" s="59">
        <f>-Input!J45*'Actuarial balances'!M20</f>
        <v>-28794.679264751274</v>
      </c>
      <c r="I20" s="59">
        <f>-'Actuarial balances'!K21*Input!K24</f>
        <v>-1154.2509946057214</v>
      </c>
      <c r="J20" s="59">
        <f>-B20*Input!L24</f>
        <v>-174233.45709712946</v>
      </c>
      <c r="K20" s="59">
        <f>-'Actuarial balances'!Q20*'CSV and dividend determination'!K43</f>
        <v>-1332606.716704448</v>
      </c>
      <c r="L20" s="59">
        <f>'Actuarial balances'!C115</f>
        <v>-687461.95955365209</v>
      </c>
      <c r="M20" s="59">
        <f t="shared" si="0"/>
        <v>146010.08289428207</v>
      </c>
      <c r="O20" s="62"/>
      <c r="P20" s="62"/>
      <c r="Q20" s="28"/>
      <c r="R20" s="62"/>
    </row>
    <row r="21" spans="1:18" x14ac:dyDescent="0.25">
      <c r="A21" s="38">
        <v>8</v>
      </c>
      <c r="B21" s="59">
        <f>'Actuarial balances'!Q21*Input!B25</f>
        <v>7344900.4365853416</v>
      </c>
      <c r="C21" s="59">
        <f>'Invested asset rollforwards'!H23</f>
        <v>2251659.951783075</v>
      </c>
      <c r="D21" s="59">
        <f>-'Actuarial balances'!O22*1000</f>
        <v>-123338.89412379157</v>
      </c>
      <c r="E21" s="59">
        <f>-'Actuarial balances'!P22*Input!P25</f>
        <v>-2643568.7972881794</v>
      </c>
      <c r="F21" s="59">
        <f>'Actuarial balances'!E78-'Actuarial balances'!E79</f>
        <v>-4405988.3298531175</v>
      </c>
      <c r="G21" s="59">
        <v>0</v>
      </c>
      <c r="H21" s="59">
        <f>-Input!J46*'Actuarial balances'!M21</f>
        <v>-27857.958977696067</v>
      </c>
      <c r="I21" s="59">
        <f>-'Actuarial balances'!K22*Input!K25</f>
        <v>-1233.3889412379158</v>
      </c>
      <c r="J21" s="59">
        <f>-B21*Input!L25</f>
        <v>-165260.25982317017</v>
      </c>
      <c r="K21" s="59">
        <f>-'Actuarial balances'!Q21*'CSV and dividend determination'!K44</f>
        <v>-1469823.1398540803</v>
      </c>
      <c r="L21" s="59">
        <f>'Actuarial balances'!C116</f>
        <v>-652056.98117467936</v>
      </c>
      <c r="M21" s="59">
        <f t="shared" si="0"/>
        <v>107432.63833246555</v>
      </c>
      <c r="O21" s="62"/>
      <c r="P21" s="62"/>
      <c r="Q21" s="28"/>
      <c r="R21" s="62"/>
    </row>
    <row r="22" spans="1:18" x14ac:dyDescent="0.25">
      <c r="A22" s="38">
        <v>9</v>
      </c>
      <c r="B22" s="59">
        <f>'Actuarial balances'!Q22*Input!B26</f>
        <v>6965235.1881178087</v>
      </c>
      <c r="C22" s="59">
        <f>'Invested asset rollforwards'!H24</f>
        <v>2450529.8494263436</v>
      </c>
      <c r="D22" s="59">
        <f>-'Actuarial balances'!O23*1000</f>
        <v>-132076.6295105358</v>
      </c>
      <c r="E22" s="59">
        <f>-'Actuarial balances'!P23*Input!P26</f>
        <v>-2888960.0836434802</v>
      </c>
      <c r="F22" s="59">
        <f>'Actuarial balances'!E79-'Actuarial balances'!E80</f>
        <v>-3928882.1789831519</v>
      </c>
      <c r="G22" s="59">
        <v>0</v>
      </c>
      <c r="H22" s="59">
        <f>-Input!J47*'Actuarial balances'!M22</f>
        <v>-26946.312284583579</v>
      </c>
      <c r="I22" s="59">
        <f>-'Actuarial balances'!K23*Input!K26</f>
        <v>-1320.766295105358</v>
      </c>
      <c r="J22" s="59">
        <f>-B22*Input!L26</f>
        <v>-156717.79173265069</v>
      </c>
      <c r="K22" s="59">
        <f>-'Actuarial balances'!Q22*'CSV and dividend determination'!K45</f>
        <v>-1589674.2942208289</v>
      </c>
      <c r="L22" s="59">
        <f>'Actuarial balances'!C117</f>
        <v>-618351.50376077904</v>
      </c>
      <c r="M22" s="59">
        <f t="shared" si="0"/>
        <v>72835.477113037137</v>
      </c>
      <c r="O22" s="62"/>
      <c r="P22" s="62"/>
      <c r="Q22" s="28"/>
      <c r="R22" s="62"/>
    </row>
    <row r="23" spans="1:18" x14ac:dyDescent="0.25">
      <c r="A23" s="38">
        <v>10</v>
      </c>
      <c r="B23" s="59">
        <f>'Actuarial balances'!Q23*Input!B27</f>
        <v>6603673.3121202067</v>
      </c>
      <c r="C23" s="59">
        <f>'Invested asset rollforwards'!H25</f>
        <v>2628458.6335096736</v>
      </c>
      <c r="D23" s="59">
        <f>-'Actuarial balances'!O24*1000</f>
        <v>-139549.32282216285</v>
      </c>
      <c r="E23" s="59">
        <f>-'Actuarial balances'!P24*Input!P27</f>
        <v>-62465458.737606488</v>
      </c>
      <c r="F23" s="59">
        <f>'Actuarial balances'!E80-'Actuarial balances'!E81</f>
        <v>55854723.862142153</v>
      </c>
      <c r="G23" s="59">
        <v>0</v>
      </c>
      <c r="H23" s="59">
        <f>-Input!J48*'Actuarial balances'!M23</f>
        <v>-26058.493540787924</v>
      </c>
      <c r="I23" s="59">
        <f>-'Actuarial balances'!K24*Input!K27</f>
        <v>-1395.4932282216287</v>
      </c>
      <c r="J23" s="59">
        <f>-B23*Input!L27</f>
        <v>-148582.64952270465</v>
      </c>
      <c r="K23" s="59">
        <f>-'Actuarial balances'!Q23*'CSV and dividend determination'!K46</f>
        <v>-1692858.9685980068</v>
      </c>
      <c r="L23" s="59">
        <f>'Actuarial balances'!C118</f>
        <v>-586253.18637630879</v>
      </c>
      <c r="M23" s="59">
        <f t="shared" si="0"/>
        <v>26698.956077353796</v>
      </c>
      <c r="O23" s="62"/>
      <c r="P23" s="62"/>
      <c r="Q23" s="28"/>
      <c r="R23" s="62"/>
    </row>
    <row r="24" spans="1:18" x14ac:dyDescent="0.25">
      <c r="B24" s="29"/>
      <c r="C24" s="29"/>
      <c r="D24" s="29"/>
      <c r="E24" s="29"/>
      <c r="F24" s="29"/>
      <c r="G24" s="29"/>
      <c r="H24" s="29"/>
      <c r="I24" s="29"/>
      <c r="J24" s="29"/>
      <c r="K24" s="29"/>
      <c r="L24" s="29"/>
      <c r="M24" s="29"/>
      <c r="O24" s="62"/>
      <c r="P24" s="62"/>
      <c r="Q24" s="28"/>
      <c r="R24" s="62"/>
    </row>
    <row r="25" spans="1:18" x14ac:dyDescent="0.25">
      <c r="A25" s="4" t="s">
        <v>81</v>
      </c>
      <c r="B25" s="29"/>
      <c r="C25" s="29"/>
      <c r="D25" s="29"/>
      <c r="E25" s="29"/>
      <c r="F25" s="29"/>
      <c r="G25" s="29"/>
      <c r="H25" s="29"/>
      <c r="I25" s="29"/>
      <c r="J25" s="29"/>
      <c r="K25" s="29"/>
      <c r="L25" s="29"/>
      <c r="M25" s="29"/>
      <c r="O25" s="62"/>
      <c r="P25" s="62"/>
      <c r="Q25" s="28"/>
      <c r="R25" s="62"/>
    </row>
    <row r="26" spans="1:18" x14ac:dyDescent="0.25">
      <c r="B26" s="29"/>
      <c r="C26" s="29"/>
      <c r="D26" s="29"/>
      <c r="E26" s="29"/>
      <c r="F26" s="29"/>
      <c r="G26" s="29"/>
      <c r="H26" s="29"/>
      <c r="I26" s="29"/>
      <c r="J26" s="29"/>
      <c r="K26" s="29"/>
      <c r="L26" s="29"/>
      <c r="M26" s="29"/>
      <c r="O26" s="62"/>
      <c r="P26" s="62"/>
      <c r="Q26" s="28"/>
      <c r="R26" s="62"/>
    </row>
    <row r="27" spans="1:18" x14ac:dyDescent="0.25">
      <c r="A27" s="76" t="s">
        <v>164</v>
      </c>
      <c r="B27" s="77"/>
      <c r="D27" s="77"/>
      <c r="E27" s="77"/>
      <c r="F27" s="77"/>
      <c r="H27" s="77"/>
      <c r="I27" s="77"/>
      <c r="J27" s="77"/>
      <c r="K27" s="77"/>
      <c r="L27" s="77"/>
      <c r="M27" s="77"/>
      <c r="O27" s="62"/>
      <c r="P27" s="62"/>
      <c r="Q27" s="28"/>
      <c r="R27" s="62"/>
    </row>
    <row r="28" spans="1:18" x14ac:dyDescent="0.25">
      <c r="A28" s="78" t="s">
        <v>0</v>
      </c>
      <c r="B28" s="78"/>
      <c r="C28" s="78" t="s">
        <v>7</v>
      </c>
      <c r="D28" s="78" t="s">
        <v>41</v>
      </c>
      <c r="E28" s="78" t="s">
        <v>11</v>
      </c>
      <c r="F28" s="78" t="s">
        <v>61</v>
      </c>
      <c r="G28" s="78" t="s">
        <v>45</v>
      </c>
      <c r="H28" s="78" t="s">
        <v>153</v>
      </c>
      <c r="I28" s="78" t="s">
        <v>124</v>
      </c>
      <c r="J28" s="78" t="s">
        <v>4</v>
      </c>
      <c r="K28" s="78" t="s">
        <v>128</v>
      </c>
      <c r="L28" s="78" t="s">
        <v>13</v>
      </c>
      <c r="M28" s="78" t="s">
        <v>44</v>
      </c>
      <c r="O28" s="62"/>
      <c r="P28" s="62"/>
      <c r="Q28" s="28"/>
      <c r="R28" s="62"/>
    </row>
    <row r="29" spans="1:18" x14ac:dyDescent="0.25">
      <c r="A29" s="79" t="s">
        <v>1</v>
      </c>
      <c r="B29" s="79" t="s">
        <v>4</v>
      </c>
      <c r="C29" s="79" t="s">
        <v>8</v>
      </c>
      <c r="D29" s="79" t="s">
        <v>42</v>
      </c>
      <c r="E29" s="79" t="s">
        <v>42</v>
      </c>
      <c r="F29" s="79" t="s">
        <v>43</v>
      </c>
      <c r="G29" s="79" t="s">
        <v>154</v>
      </c>
      <c r="H29" s="79" t="s">
        <v>36</v>
      </c>
      <c r="I29" s="79" t="s">
        <v>36</v>
      </c>
      <c r="J29" s="79" t="s">
        <v>55</v>
      </c>
      <c r="K29" s="79" t="s">
        <v>48</v>
      </c>
      <c r="L29" s="79" t="s">
        <v>19</v>
      </c>
      <c r="M29" s="79" t="s">
        <v>8</v>
      </c>
      <c r="O29" s="62"/>
      <c r="P29" s="62"/>
      <c r="Q29" s="28"/>
      <c r="R29" s="62"/>
    </row>
    <row r="30" spans="1:18" x14ac:dyDescent="0.25">
      <c r="A30" s="38"/>
      <c r="B30" s="39"/>
      <c r="C30" s="39"/>
      <c r="D30" s="39"/>
      <c r="E30" s="39"/>
      <c r="F30" s="39"/>
      <c r="G30" s="39"/>
      <c r="H30" s="39"/>
      <c r="I30" s="39"/>
      <c r="J30" s="39"/>
      <c r="K30" s="39"/>
      <c r="L30" s="39"/>
      <c r="M30" s="39"/>
      <c r="O30" s="62"/>
      <c r="P30" s="62"/>
      <c r="Q30" s="28"/>
      <c r="R30" s="62"/>
    </row>
    <row r="31" spans="1:18" x14ac:dyDescent="0.25">
      <c r="A31" s="38">
        <v>1</v>
      </c>
      <c r="B31" s="59">
        <f>'Actuarial balances'!H126*Input!B39</f>
        <v>10600000</v>
      </c>
      <c r="C31" s="59">
        <f>'Invested asset rollforwards'!H35</f>
        <v>125162.50000000004</v>
      </c>
      <c r="D31" s="59">
        <f>-'Actuarial balances'!F127*1000</f>
        <v>-63000</v>
      </c>
      <c r="E31" s="59">
        <f>-'Actuarial balances'!G127*Input!P39</f>
        <v>0</v>
      </c>
      <c r="F31" s="59">
        <f>'Actuarial balances'!E166-'Actuarial balances'!E167</f>
        <v>-8900830.5662451126</v>
      </c>
      <c r="G31" s="59">
        <f>-(Input!H39-Input!I39)*'Actuarial balances'!D126</f>
        <v>-100000</v>
      </c>
      <c r="H31" s="59">
        <f>-Input!J39*'Actuarial balances'!D126</f>
        <v>-35000</v>
      </c>
      <c r="I31" s="59">
        <f>-'Actuarial balances'!B127*Input!K39</f>
        <v>-630</v>
      </c>
      <c r="J31" s="59">
        <f>-B31*Input!L39</f>
        <v>-238500</v>
      </c>
      <c r="K31" s="59">
        <f>-'Actuarial balances'!H126*'CSV and dividend determination'!K37</f>
        <v>0</v>
      </c>
      <c r="L31" s="59">
        <f>'Actuarial balances'!C109</f>
        <v>-941034.4034104991</v>
      </c>
      <c r="M31" s="59">
        <f t="shared" ref="M31:M40" si="1">SUM(B31:L31)</f>
        <v>446167.53034438833</v>
      </c>
      <c r="O31" s="62"/>
      <c r="P31" s="62"/>
      <c r="Q31" s="28"/>
      <c r="R31" s="62"/>
    </row>
    <row r="32" spans="1:18" x14ac:dyDescent="0.25">
      <c r="A32" s="38">
        <v>2</v>
      </c>
      <c r="B32" s="59">
        <f>'Actuarial balances'!H127*Input!B40</f>
        <v>10063655.899999999</v>
      </c>
      <c r="C32" s="59">
        <f>'Invested asset rollforwards'!H36</f>
        <v>524944.15753448848</v>
      </c>
      <c r="D32" s="59">
        <f>-'Actuarial balances'!F128*1000</f>
        <v>-73103.915500000003</v>
      </c>
      <c r="E32" s="59">
        <f>-'Actuarial balances'!G128*Input!P40</f>
        <v>-494846.8435109721</v>
      </c>
      <c r="F32" s="59">
        <f>'Actuarial balances'!E167-'Actuarial balances'!E168</f>
        <v>-8114788.0938045159</v>
      </c>
      <c r="G32" s="59">
        <v>0</v>
      </c>
      <c r="H32" s="59">
        <f>-Input!J40*'Actuarial balances'!D127</f>
        <v>-33893.633549999999</v>
      </c>
      <c r="I32" s="59">
        <f>-'Actuarial balances'!B128*Input!K40</f>
        <v>-731.03915499999994</v>
      </c>
      <c r="J32" s="59">
        <f>-B32*Input!L40</f>
        <v>-226432.25774999996</v>
      </c>
      <c r="K32" s="59">
        <f>-'Actuarial balances'!H127*'CSV and dividend determination'!K38</f>
        <v>-341139.60173965519</v>
      </c>
      <c r="L32" s="59">
        <f>'Actuarial balances'!C110</f>
        <v>-893419.47414953297</v>
      </c>
      <c r="M32" s="59">
        <f t="shared" si="1"/>
        <v>410245.19837480981</v>
      </c>
      <c r="O32" s="62"/>
      <c r="P32" s="62"/>
      <c r="Q32" s="28"/>
      <c r="R32" s="62"/>
    </row>
    <row r="33" spans="1:18" x14ac:dyDescent="0.25">
      <c r="A33" s="38">
        <v>3</v>
      </c>
      <c r="B33" s="59">
        <f>'Actuarial balances'!H128*Input!B41</f>
        <v>9553111.5407091491</v>
      </c>
      <c r="C33" s="59">
        <f>'Invested asset rollforwards'!H37</f>
        <v>886140.57354979066</v>
      </c>
      <c r="D33" s="59">
        <f>-'Actuarial balances'!F129*1000</f>
        <v>-89222.456842472238</v>
      </c>
      <c r="E33" s="59">
        <f>-'Actuarial balances'!G129*Input!P41</f>
        <v>-945490.85153257463</v>
      </c>
      <c r="F33" s="59">
        <f>'Actuarial balances'!E168-'Actuarial balances'!E169</f>
        <v>-7370914.0091190971</v>
      </c>
      <c r="G33" s="59">
        <v>0</v>
      </c>
      <c r="H33" s="59">
        <f>-Input!J41*'Actuarial balances'!D128</f>
        <v>-32817.64185314934</v>
      </c>
      <c r="I33" s="59">
        <f>-'Actuarial balances'!B129*Input!K41</f>
        <v>-892.22456842472241</v>
      </c>
      <c r="J33" s="59">
        <f>-B33*Input!L41</f>
        <v>-214945.00966595585</v>
      </c>
      <c r="K33" s="59">
        <f>-'Actuarial balances'!H128*'CSV and dividend determination'!K39</f>
        <v>-590683.61678943178</v>
      </c>
      <c r="L33" s="59">
        <f>'Actuarial balances'!C111</f>
        <v>-848094.96409671591</v>
      </c>
      <c r="M33" s="59">
        <f t="shared" si="1"/>
        <v>346191.33979111724</v>
      </c>
      <c r="O33" s="62"/>
      <c r="P33" s="62"/>
      <c r="Q33" s="28"/>
      <c r="R33" s="62"/>
    </row>
    <row r="34" spans="1:18" x14ac:dyDescent="0.25">
      <c r="A34" s="38">
        <v>4</v>
      </c>
      <c r="B34" s="59">
        <f>'Actuarial balances'!H129*Input!B42</f>
        <v>9066471.2622696552</v>
      </c>
      <c r="C34" s="59">
        <f>'Invested asset rollforwards'!H38</f>
        <v>1214810.818318336</v>
      </c>
      <c r="D34" s="59">
        <f>-'Actuarial balances'!F130*1000</f>
        <v>-97507.332443277424</v>
      </c>
      <c r="E34" s="59">
        <f>-'Actuarial balances'!G130*Input!P42</f>
        <v>-1355541.984443431</v>
      </c>
      <c r="F34" s="59">
        <f>'Actuarial balances'!E169-'Actuarial balances'!E170</f>
        <v>-6689092.5334572569</v>
      </c>
      <c r="G34" s="59">
        <v>0</v>
      </c>
      <c r="H34" s="59">
        <f>-Input!J42*'Actuarial balances'!D129</f>
        <v>-31768.81266369556</v>
      </c>
      <c r="I34" s="59">
        <f>-'Actuarial balances'!B130*Input!K42</f>
        <v>-975.07332443277414</v>
      </c>
      <c r="J34" s="59">
        <f>-B34*Input!L42</f>
        <v>-203995.60340106723</v>
      </c>
      <c r="K34" s="59">
        <f>-'Actuarial balances'!H129*'CSV and dividend determination'!K40</f>
        <v>-809053.55363827874</v>
      </c>
      <c r="L34" s="59">
        <f>'Actuarial balances'!C112</f>
        <v>-804892.58257814718</v>
      </c>
      <c r="M34" s="59">
        <f t="shared" si="1"/>
        <v>288454.60463840223</v>
      </c>
    </row>
    <row r="35" spans="1:18" x14ac:dyDescent="0.25">
      <c r="A35" s="38">
        <v>5</v>
      </c>
      <c r="B35" s="59">
        <f>'Actuarial balances'!H130*Input!B43</f>
        <v>8603328.7107791342</v>
      </c>
      <c r="C35" s="59">
        <f>'Invested asset rollforwards'!H39</f>
        <v>1513664.9742059838</v>
      </c>
      <c r="D35" s="59">
        <f>-'Actuarial balances'!F131*1000</f>
        <v>-129861.56544572279</v>
      </c>
      <c r="E35" s="59">
        <f>-'Actuarial balances'!G131*Input!P43</f>
        <v>-1727317.0167074848</v>
      </c>
      <c r="F35" s="59">
        <f>'Actuarial balances'!E170-'Actuarial balances'!E171</f>
        <v>-6044171.1794274524</v>
      </c>
      <c r="G35" s="59">
        <v>0</v>
      </c>
      <c r="H35" s="59">
        <f>-Input!J43*'Actuarial balances'!D130</f>
        <v>-30748.885734523923</v>
      </c>
      <c r="I35" s="59">
        <f>-'Actuarial balances'!B131*Input!K43</f>
        <v>-1298.6156544572277</v>
      </c>
      <c r="J35" s="59">
        <f>-B35*Input!L43</f>
        <v>-193574.89599253051</v>
      </c>
      <c r="K35" s="59">
        <f>-'Actuarial balances'!H130*'CSV and dividend determination'!K41</f>
        <v>-1003887.0643936034</v>
      </c>
      <c r="L35" s="59">
        <f>'Actuarial balances'!D207-'Actuarial balances'!D112</f>
        <v>-763974.67709664674</v>
      </c>
      <c r="M35" s="59">
        <f t="shared" si="1"/>
        <v>222159.78453269589</v>
      </c>
    </row>
    <row r="36" spans="1:18" x14ac:dyDescent="0.25">
      <c r="A36" s="38">
        <v>6</v>
      </c>
      <c r="B36" s="59">
        <f>'Actuarial balances'!H131*Input!B44</f>
        <v>8160085.215599793</v>
      </c>
      <c r="C36" s="59">
        <f>'Invested asset rollforwards'!H40</f>
        <v>1784215.8623256697</v>
      </c>
      <c r="D36" s="59">
        <f>-'Actuarial balances'!F132*1000</f>
        <v>-107774.71039471425</v>
      </c>
      <c r="E36" s="59">
        <f>-'Actuarial balances'!G132*Input!P44</f>
        <v>-2064545.870507709</v>
      </c>
      <c r="F36" s="59">
        <f>'Actuarial balances'!E171-'Actuarial balances'!E172</f>
        <v>-5467761.0644298121</v>
      </c>
      <c r="G36" s="59">
        <v>0</v>
      </c>
      <c r="H36" s="59">
        <f>-Input!J44*'Actuarial balances'!D131</f>
        <v>-29747.997204310876</v>
      </c>
      <c r="I36" s="59">
        <f>-'Actuarial balances'!B132*Input!K44</f>
        <v>-1077.7471039471425</v>
      </c>
      <c r="J36" s="59">
        <f>-B36*Input!L44</f>
        <v>-183601.91735099533</v>
      </c>
      <c r="K36" s="59">
        <f>-'Actuarial balances'!H131*'CSV and dividend determination'!K42</f>
        <v>-1176584.5570216656</v>
      </c>
      <c r="L36" s="59">
        <f>'Actuarial balances'!C208</f>
        <v>-724614.70173262735</v>
      </c>
      <c r="M36" s="59">
        <f t="shared" si="1"/>
        <v>188592.5121796811</v>
      </c>
    </row>
    <row r="37" spans="1:18" x14ac:dyDescent="0.25">
      <c r="A37" s="38">
        <v>7</v>
      </c>
      <c r="B37" s="59">
        <f>'Actuarial balances'!H132*Input!B45</f>
        <v>7741228.0414830549</v>
      </c>
      <c r="C37" s="59">
        <f>'Invested asset rollforwards'!H41</f>
        <v>2029631.3106095816</v>
      </c>
      <c r="D37" s="59">
        <f>-'Actuarial balances'!F133*1000</f>
        <v>-115388.11609003044</v>
      </c>
      <c r="E37" s="59">
        <f>-'Actuarial balances'!G133*Input!P45</f>
        <v>-2368927.5614765035</v>
      </c>
      <c r="F37" s="59">
        <f>'Actuarial balances'!E172-'Actuarial balances'!E173</f>
        <v>-4917070.0646716058</v>
      </c>
      <c r="G37" s="59">
        <v>0</v>
      </c>
      <c r="H37" s="59">
        <f>-Input!J45*'Actuarial balances'!D132</f>
        <v>-28785.453157969871</v>
      </c>
      <c r="I37" s="59">
        <f>-'Actuarial balances'!B133*Input!K45</f>
        <v>-1153.8811609003044</v>
      </c>
      <c r="J37" s="59">
        <f>-B37*Input!L45</f>
        <v>-174177.63093336872</v>
      </c>
      <c r="K37" s="59">
        <f>-'Actuarial balances'!H132*'CSV and dividend determination'!K43</f>
        <v>-1332179.736019826</v>
      </c>
      <c r="L37" s="59">
        <f>'Actuarial balances'!C209</f>
        <v>-687420.22909269156</v>
      </c>
      <c r="M37" s="59">
        <f t="shared" si="1"/>
        <v>145756.6794897397</v>
      </c>
      <c r="N37" s="44"/>
    </row>
    <row r="38" spans="1:18" x14ac:dyDescent="0.25">
      <c r="A38" s="38">
        <v>8</v>
      </c>
      <c r="B38" s="59">
        <f>'Actuarial balances'!H133*Input!B46</f>
        <v>7342547.0561186345</v>
      </c>
      <c r="C38" s="59">
        <f>'Invested asset rollforwards'!H42</f>
        <v>2250918.0040730531</v>
      </c>
      <c r="D38" s="59">
        <f>-'Actuarial balances'!F134*1000</f>
        <v>-123299.37509331295</v>
      </c>
      <c r="E38" s="59">
        <f>-'Actuarial balances'!G134*Input!P46</f>
        <v>-2642721.7710794993</v>
      </c>
      <c r="F38" s="59">
        <f>'Actuarial balances'!E173-'Actuarial balances'!E174</f>
        <v>-4404576.6065817773</v>
      </c>
      <c r="G38" s="59">
        <v>0</v>
      </c>
      <c r="H38" s="59">
        <f>-Input!J46*'Actuarial balances'!D133</f>
        <v>-27849.033005578891</v>
      </c>
      <c r="I38" s="59">
        <f>-'Actuarial balances'!B134*Input!K46</f>
        <v>-1232.9937509331294</v>
      </c>
      <c r="J38" s="59">
        <f>-B38*Input!L46</f>
        <v>-165207.30876266927</v>
      </c>
      <c r="K38" s="59">
        <f>-'Actuarial balances'!H133*'CSV and dividend determination'!K44</f>
        <v>-1469352.1936381701</v>
      </c>
      <c r="L38" s="59">
        <f>'Actuarial balances'!C210</f>
        <v>-652017.3998741887</v>
      </c>
      <c r="M38" s="59">
        <f t="shared" si="1"/>
        <v>107208.37840555771</v>
      </c>
      <c r="N38" s="44"/>
    </row>
    <row r="39" spans="1:18" x14ac:dyDescent="0.25">
      <c r="A39" s="38">
        <v>9</v>
      </c>
      <c r="B39" s="59">
        <f>'Actuarial balances'!H134*Input!B47</f>
        <v>6963003.4562408067</v>
      </c>
      <c r="C39" s="59">
        <f>'Invested asset rollforwards'!H43</f>
        <v>2449731.3789227959</v>
      </c>
      <c r="D39" s="59">
        <f>-'Actuarial balances'!F135*1000</f>
        <v>-132034.31082117007</v>
      </c>
      <c r="E39" s="59">
        <f>-'Actuarial balances'!G135*Input!P47</f>
        <v>-2888034.4315820755</v>
      </c>
      <c r="F39" s="59">
        <f>'Actuarial balances'!E174-'Actuarial balances'!E175</f>
        <v>-3927623.3253532425</v>
      </c>
      <c r="G39" s="59">
        <v>0</v>
      </c>
      <c r="H39" s="59">
        <f>-Input!J47*'Actuarial balances'!D134</f>
        <v>-26937.678413297264</v>
      </c>
      <c r="I39" s="59">
        <f>-'Actuarial balances'!B135*Input!K47</f>
        <v>-1320.3431082117006</v>
      </c>
      <c r="J39" s="59">
        <f>-B39*Input!L47</f>
        <v>-156667.57776541816</v>
      </c>
      <c r="K39" s="59">
        <f>-'Actuarial balances'!H134*'CSV and dividend determination'!K45</f>
        <v>-1589164.9464815718</v>
      </c>
      <c r="L39" s="59">
        <f>'Actuarial balances'!C211</f>
        <v>-618313.96845729207</v>
      </c>
      <c r="M39" s="59">
        <f t="shared" si="1"/>
        <v>72638.253181323875</v>
      </c>
    </row>
    <row r="40" spans="1:18" x14ac:dyDescent="0.25">
      <c r="A40" s="38">
        <v>10</v>
      </c>
      <c r="B40" s="59">
        <f>'Actuarial balances'!H135*Input!B48</f>
        <v>6601557.4283290748</v>
      </c>
      <c r="C40" s="59">
        <f>'Invested asset rollforwards'!H44</f>
        <v>2627609.9779302962</v>
      </c>
      <c r="D40" s="59">
        <f>-'Actuarial balances'!F136*1000</f>
        <v>-139504.60980619933</v>
      </c>
      <c r="E40" s="59">
        <f>-'Actuarial balances'!G136*Input!P48</f>
        <v>-62445444.172166683</v>
      </c>
      <c r="F40" s="59">
        <f>'Actuarial balances'!E175-'Actuarial balances'!E176</f>
        <v>55836827.443089873</v>
      </c>
      <c r="G40" s="59">
        <v>0</v>
      </c>
      <c r="H40" s="59">
        <f>-Input!J48*'Actuarial balances'!D135</f>
        <v>-26050.144135616254</v>
      </c>
      <c r="I40" s="59">
        <f>-'Actuarial balances'!B136*Input!K48</f>
        <v>-1395.0460980619932</v>
      </c>
      <c r="J40" s="59">
        <f>-B40*Input!L48</f>
        <v>-148535.04213740418</v>
      </c>
      <c r="K40" s="59">
        <f>-'Actuarial balances'!H135*'CSV and dividend determination'!K46</f>
        <v>-1692316.5594443383</v>
      </c>
      <c r="L40" s="59">
        <f>'Actuarial balances'!C212</f>
        <v>-586217.59951165819</v>
      </c>
      <c r="M40" s="59">
        <f t="shared" si="1"/>
        <v>26531.676049281727</v>
      </c>
    </row>
    <row r="41" spans="1:18" x14ac:dyDescent="0.25">
      <c r="A41" s="2"/>
      <c r="B41" s="2"/>
      <c r="C41" s="2"/>
      <c r="D41" s="2"/>
      <c r="E41" s="2"/>
      <c r="F41" s="2"/>
      <c r="G41" s="2"/>
      <c r="H41" s="2"/>
      <c r="I41" s="2"/>
      <c r="J41" s="2"/>
      <c r="K41" s="2"/>
      <c r="L41" s="2"/>
    </row>
    <row r="42" spans="1:18" x14ac:dyDescent="0.25">
      <c r="A42" s="4"/>
      <c r="F42" s="62"/>
      <c r="L42" s="62"/>
    </row>
    <row r="43" spans="1:18" x14ac:dyDescent="0.25">
      <c r="B43" s="29"/>
      <c r="C43" s="29"/>
      <c r="D43" s="29"/>
      <c r="E43" s="29"/>
      <c r="F43" s="29"/>
      <c r="G43" s="29"/>
      <c r="H43" s="29"/>
      <c r="I43" s="29"/>
      <c r="J43" s="29"/>
      <c r="K43" s="29"/>
      <c r="L43" s="29"/>
      <c r="M43" s="62"/>
      <c r="N43" s="62"/>
    </row>
    <row r="44" spans="1:18" x14ac:dyDescent="0.25">
      <c r="B44" s="75">
        <f>B35-B18</f>
        <v>0</v>
      </c>
      <c r="C44" s="75">
        <f t="shared" ref="C44:M44" si="2">C35-C18</f>
        <v>0</v>
      </c>
      <c r="D44" s="75">
        <f t="shared" si="2"/>
        <v>-25972.313089144562</v>
      </c>
      <c r="E44" s="75">
        <f t="shared" si="2"/>
        <v>553.6272489449475</v>
      </c>
      <c r="F44" s="75">
        <f t="shared" si="2"/>
        <v>11897.370635282248</v>
      </c>
      <c r="G44" s="75">
        <f t="shared" si="2"/>
        <v>0</v>
      </c>
      <c r="H44" s="75">
        <f t="shared" si="2"/>
        <v>0</v>
      </c>
      <c r="I44" s="75">
        <f t="shared" si="2"/>
        <v>-259.72313089144541</v>
      </c>
      <c r="J44" s="75">
        <f t="shared" si="2"/>
        <v>0</v>
      </c>
      <c r="K44" s="75">
        <f t="shared" si="2"/>
        <v>0</v>
      </c>
      <c r="L44" s="75">
        <f t="shared" si="2"/>
        <v>-198.42231433908455</v>
      </c>
      <c r="M44" s="75">
        <f t="shared" si="2"/>
        <v>-13979.460650148103</v>
      </c>
    </row>
    <row r="45" spans="1:18" x14ac:dyDescent="0.25">
      <c r="A45" s="44"/>
      <c r="B45" s="44"/>
      <c r="C45" s="44"/>
      <c r="D45" s="44"/>
      <c r="E45" s="44"/>
      <c r="F45" s="44"/>
      <c r="G45" s="44"/>
      <c r="H45" s="44"/>
      <c r="I45" s="44"/>
      <c r="J45" s="44"/>
      <c r="K45" s="44"/>
      <c r="L45" s="44"/>
      <c r="M45" s="44"/>
    </row>
    <row r="46" spans="1:18" x14ac:dyDescent="0.25">
      <c r="A46" s="2"/>
      <c r="B46" s="2"/>
      <c r="C46" s="2"/>
      <c r="D46" s="2"/>
      <c r="E46" s="2"/>
      <c r="F46" s="2"/>
      <c r="G46" s="2"/>
      <c r="H46" s="2"/>
      <c r="I46" s="2"/>
      <c r="J46" s="2"/>
      <c r="K46" s="2"/>
      <c r="L46" s="2"/>
      <c r="M46" s="2"/>
    </row>
    <row r="48" spans="1:18" x14ac:dyDescent="0.25">
      <c r="B48" s="29"/>
      <c r="C48" s="29"/>
      <c r="D48" s="29"/>
      <c r="E48" s="29"/>
      <c r="F48" s="29"/>
      <c r="G48" s="29"/>
      <c r="H48" s="29"/>
      <c r="I48" s="29"/>
      <c r="J48" s="29"/>
      <c r="K48" s="29"/>
      <c r="L48" s="29"/>
      <c r="M48" s="29"/>
    </row>
    <row r="49" spans="2:13" x14ac:dyDescent="0.25">
      <c r="B49" s="29"/>
      <c r="C49" s="29"/>
      <c r="D49" s="29"/>
      <c r="E49" s="29"/>
      <c r="F49" s="29"/>
      <c r="G49" s="29"/>
      <c r="H49" s="29"/>
      <c r="I49" s="29"/>
      <c r="J49" s="29"/>
      <c r="K49" s="29"/>
      <c r="L49" s="29"/>
      <c r="M49" s="29"/>
    </row>
    <row r="50" spans="2:13" x14ac:dyDescent="0.25">
      <c r="B50" s="29"/>
      <c r="C50" s="29"/>
      <c r="D50" s="29"/>
      <c r="E50" s="29"/>
      <c r="F50" s="29"/>
      <c r="G50" s="29"/>
      <c r="H50" s="29"/>
      <c r="I50" s="29"/>
      <c r="J50" s="29"/>
      <c r="K50" s="29"/>
      <c r="L50" s="29"/>
      <c r="M50" s="29"/>
    </row>
    <row r="51" spans="2:13" x14ac:dyDescent="0.25">
      <c r="B51" s="29"/>
      <c r="C51" s="29"/>
      <c r="D51" s="29"/>
      <c r="E51" s="29"/>
      <c r="F51" s="29"/>
      <c r="G51" s="29"/>
      <c r="H51" s="29"/>
      <c r="I51" s="29"/>
      <c r="J51" s="29"/>
      <c r="K51" s="29"/>
      <c r="L51" s="29"/>
      <c r="M51" s="29"/>
    </row>
    <row r="52" spans="2:13" x14ac:dyDescent="0.25">
      <c r="B52" s="29"/>
      <c r="C52" s="29"/>
      <c r="D52" s="29"/>
      <c r="E52" s="29"/>
      <c r="F52" s="29"/>
      <c r="G52" s="29"/>
      <c r="H52" s="29"/>
      <c r="I52" s="29"/>
      <c r="J52" s="29"/>
      <c r="K52" s="29"/>
      <c r="L52" s="29"/>
      <c r="M52" s="29"/>
    </row>
    <row r="53" spans="2:13" x14ac:dyDescent="0.25">
      <c r="B53" s="29"/>
      <c r="C53" s="29"/>
      <c r="D53" s="29"/>
      <c r="E53" s="29"/>
      <c r="F53" s="29"/>
      <c r="G53" s="29"/>
      <c r="H53" s="29"/>
      <c r="I53" s="29"/>
      <c r="J53" s="29"/>
      <c r="K53" s="29"/>
      <c r="L53" s="29"/>
      <c r="M53" s="29"/>
    </row>
    <row r="54" spans="2:13" x14ac:dyDescent="0.25">
      <c r="B54" s="29"/>
      <c r="C54" s="29"/>
      <c r="D54" s="29"/>
      <c r="E54" s="29"/>
      <c r="F54" s="29"/>
      <c r="G54" s="29"/>
      <c r="H54" s="29"/>
      <c r="I54" s="29"/>
      <c r="J54" s="29"/>
      <c r="K54" s="29"/>
      <c r="L54" s="29"/>
      <c r="M54" s="29"/>
    </row>
    <row r="55" spans="2:13" x14ac:dyDescent="0.25">
      <c r="B55" s="29"/>
      <c r="C55" s="29"/>
      <c r="D55" s="29"/>
      <c r="E55" s="29"/>
      <c r="F55" s="29"/>
      <c r="G55" s="29"/>
      <c r="H55" s="29"/>
      <c r="I55" s="29"/>
      <c r="J55" s="29"/>
      <c r="K55" s="29"/>
      <c r="L55" s="29"/>
      <c r="M55" s="29"/>
    </row>
    <row r="56" spans="2:13" x14ac:dyDescent="0.25">
      <c r="B56" s="29"/>
      <c r="C56" s="29"/>
      <c r="D56" s="29"/>
      <c r="E56" s="29"/>
      <c r="F56" s="29"/>
      <c r="G56" s="29"/>
      <c r="H56" s="29"/>
      <c r="I56" s="29"/>
      <c r="J56" s="29"/>
      <c r="K56" s="29"/>
      <c r="L56" s="29"/>
      <c r="M56" s="29"/>
    </row>
    <row r="57" spans="2:13" x14ac:dyDescent="0.25">
      <c r="B57" s="29"/>
      <c r="C57" s="29"/>
      <c r="D57" s="29"/>
      <c r="E57" s="29"/>
      <c r="F57" s="29"/>
      <c r="G57" s="29"/>
      <c r="H57" s="29"/>
      <c r="I57" s="29"/>
      <c r="J57" s="29"/>
      <c r="K57" s="29"/>
      <c r="L57" s="29"/>
      <c r="M57" s="29"/>
    </row>
    <row r="58" spans="2:13" x14ac:dyDescent="0.25">
      <c r="B58" s="29"/>
      <c r="C58" s="29"/>
      <c r="D58" s="29"/>
      <c r="E58" s="29"/>
      <c r="F58" s="29"/>
      <c r="G58" s="29"/>
      <c r="H58" s="29"/>
      <c r="I58" s="29"/>
      <c r="J58" s="29"/>
      <c r="K58" s="29"/>
      <c r="L58" s="29"/>
    </row>
    <row r="59" spans="2:13" x14ac:dyDescent="0.25">
      <c r="B59" s="29"/>
      <c r="C59" s="29"/>
      <c r="D59" s="29"/>
      <c r="E59" s="29"/>
      <c r="F59" s="29"/>
      <c r="G59" s="29"/>
      <c r="H59" s="29"/>
      <c r="I59" s="29"/>
      <c r="J59" s="29"/>
      <c r="K59" s="29"/>
      <c r="L59" s="29"/>
    </row>
    <row r="60" spans="2:13" x14ac:dyDescent="0.25">
      <c r="B60" s="29"/>
      <c r="C60" s="29"/>
      <c r="D60" s="29"/>
      <c r="E60" s="29"/>
      <c r="F60" s="29"/>
      <c r="G60" s="29"/>
      <c r="H60" s="29"/>
      <c r="I60" s="29"/>
      <c r="J60" s="29"/>
      <c r="K60" s="29"/>
      <c r="L60" s="29"/>
    </row>
    <row r="61" spans="2:13" x14ac:dyDescent="0.25">
      <c r="B61" s="29"/>
      <c r="C61" s="29"/>
      <c r="D61" s="29"/>
      <c r="E61" s="29"/>
      <c r="F61" s="29"/>
      <c r="G61" s="29"/>
      <c r="H61" s="29"/>
      <c r="I61" s="29"/>
      <c r="J61" s="29"/>
      <c r="K61" s="29"/>
      <c r="L61" s="29"/>
    </row>
    <row r="62" spans="2:13" x14ac:dyDescent="0.25">
      <c r="B62" s="29"/>
      <c r="C62" s="29"/>
      <c r="D62" s="29"/>
      <c r="E62" s="29"/>
      <c r="F62" s="29"/>
      <c r="G62" s="29"/>
      <c r="H62" s="29"/>
      <c r="I62" s="29"/>
      <c r="J62" s="29"/>
      <c r="K62" s="29"/>
      <c r="L62" s="29"/>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63"/>
  <sheetViews>
    <sheetView workbookViewId="0">
      <selection activeCell="N43" sqref="N43"/>
    </sheetView>
  </sheetViews>
  <sheetFormatPr defaultColWidth="8.7109375" defaultRowHeight="15" x14ac:dyDescent="0.25"/>
  <cols>
    <col min="1" max="1" width="30.140625" style="20" bestFit="1" customWidth="1"/>
    <col min="2" max="2" width="11.140625" style="20" bestFit="1" customWidth="1"/>
    <col min="3" max="3" width="10.5703125" style="20" bestFit="1" customWidth="1"/>
    <col min="4" max="4" width="11.140625" style="20" bestFit="1" customWidth="1"/>
    <col min="5" max="5" width="11.5703125" style="20" bestFit="1" customWidth="1"/>
    <col min="6" max="7" width="11.5703125" style="20" customWidth="1"/>
    <col min="8" max="8" width="12.5703125" style="20" customWidth="1"/>
    <col min="9" max="9" width="10.5703125" style="20" bestFit="1" customWidth="1"/>
    <col min="10" max="11" width="12" style="20" customWidth="1"/>
    <col min="12" max="12" width="12.140625" style="20" customWidth="1"/>
    <col min="13" max="13" width="12.85546875" style="20" customWidth="1"/>
    <col min="14" max="14" width="8.7109375" style="20"/>
    <col min="15" max="16" width="11.5703125" style="20" bestFit="1" customWidth="1"/>
    <col min="17" max="16384" width="8.7109375" style="20"/>
  </cols>
  <sheetData>
    <row r="1" spans="1:16" x14ac:dyDescent="0.25">
      <c r="A1" s="21" t="s">
        <v>165</v>
      </c>
    </row>
    <row r="2" spans="1:16" x14ac:dyDescent="0.25">
      <c r="A2" s="19" t="s">
        <v>166</v>
      </c>
    </row>
    <row r="3" spans="1:16" x14ac:dyDescent="0.25">
      <c r="A3" s="23" t="s">
        <v>167</v>
      </c>
    </row>
    <row r="4" spans="1:16" x14ac:dyDescent="0.25">
      <c r="A4" s="24" t="s">
        <v>180</v>
      </c>
    </row>
    <row r="6" spans="1:16" x14ac:dyDescent="0.25">
      <c r="A6" s="1" t="s">
        <v>46</v>
      </c>
    </row>
    <row r="8" spans="1:16" x14ac:dyDescent="0.25">
      <c r="A8" s="1" t="s">
        <v>80</v>
      </c>
    </row>
    <row r="10" spans="1:16" x14ac:dyDescent="0.25">
      <c r="A10" s="3" t="s">
        <v>47</v>
      </c>
    </row>
    <row r="11" spans="1:16" x14ac:dyDescent="0.25">
      <c r="A11" s="3"/>
    </row>
    <row r="12" spans="1:16" x14ac:dyDescent="0.25">
      <c r="B12" s="44"/>
      <c r="C12" s="44" t="s">
        <v>25</v>
      </c>
      <c r="D12" s="44" t="s">
        <v>40</v>
      </c>
      <c r="E12" s="44"/>
      <c r="F12" s="44"/>
      <c r="G12" s="44"/>
      <c r="I12" s="44"/>
      <c r="J12" s="44"/>
      <c r="K12" s="44"/>
      <c r="L12" s="44"/>
      <c r="M12" s="44" t="s">
        <v>49</v>
      </c>
    </row>
    <row r="13" spans="1:16" x14ac:dyDescent="0.25">
      <c r="A13" s="44" t="s">
        <v>0</v>
      </c>
      <c r="B13" s="44"/>
      <c r="C13" s="44" t="s">
        <v>10</v>
      </c>
      <c r="D13" s="44" t="s">
        <v>27</v>
      </c>
      <c r="E13" s="44" t="s">
        <v>9</v>
      </c>
      <c r="F13" s="44" t="s">
        <v>126</v>
      </c>
      <c r="G13" s="44" t="s">
        <v>4</v>
      </c>
      <c r="H13" s="44" t="s">
        <v>7</v>
      </c>
      <c r="I13" s="44" t="s">
        <v>41</v>
      </c>
      <c r="J13" s="44" t="s">
        <v>11</v>
      </c>
      <c r="K13" s="44" t="s">
        <v>127</v>
      </c>
      <c r="L13" s="44" t="s">
        <v>16</v>
      </c>
      <c r="M13" s="44" t="s">
        <v>14</v>
      </c>
      <c r="O13" s="44" t="s">
        <v>135</v>
      </c>
      <c r="P13" s="44" t="s">
        <v>136</v>
      </c>
    </row>
    <row r="14" spans="1:16" x14ac:dyDescent="0.25">
      <c r="A14" s="2" t="s">
        <v>1</v>
      </c>
      <c r="B14" s="2" t="s">
        <v>4</v>
      </c>
      <c r="C14" s="2" t="s">
        <v>36</v>
      </c>
      <c r="D14" s="2" t="s">
        <v>36</v>
      </c>
      <c r="E14" s="2" t="s">
        <v>36</v>
      </c>
      <c r="F14" s="2" t="s">
        <v>36</v>
      </c>
      <c r="G14" s="2" t="s">
        <v>55</v>
      </c>
      <c r="H14" s="2" t="s">
        <v>8</v>
      </c>
      <c r="I14" s="2" t="s">
        <v>42</v>
      </c>
      <c r="J14" s="2" t="s">
        <v>42</v>
      </c>
      <c r="K14" s="2" t="s">
        <v>48</v>
      </c>
      <c r="L14" s="2" t="s">
        <v>48</v>
      </c>
      <c r="M14" s="2" t="s">
        <v>34</v>
      </c>
      <c r="O14" s="2" t="s">
        <v>134</v>
      </c>
      <c r="P14" s="2" t="s">
        <v>137</v>
      </c>
    </row>
    <row r="15" spans="1:16" x14ac:dyDescent="0.25">
      <c r="D15" s="45"/>
      <c r="L15" s="53"/>
      <c r="M15" s="53">
        <v>0</v>
      </c>
    </row>
    <row r="16" spans="1:16" x14ac:dyDescent="0.25">
      <c r="A16" s="20">
        <v>1</v>
      </c>
      <c r="B16" s="53">
        <f>'Income statement'!B14</f>
        <v>10600000</v>
      </c>
      <c r="C16" s="53">
        <f>-'Actuarial balances'!D91</f>
        <v>-7519999.9999999991</v>
      </c>
      <c r="D16" s="53">
        <f>'Income statement'!G14</f>
        <v>-100000</v>
      </c>
      <c r="E16" s="53">
        <f>'Income statement'!H14</f>
        <v>-35000</v>
      </c>
      <c r="F16" s="53">
        <f>'Income statement'!I14</f>
        <v>-630</v>
      </c>
      <c r="G16" s="53">
        <f>'Income statement'!J14</f>
        <v>-238500</v>
      </c>
      <c r="H16" s="53">
        <f>Input!C18*('Invested asset rollforwards'!M15+'Invested asset rollforwards'!B16+'Invested asset rollforwards'!C16+'Invested asset rollforwards'!D16+'Invested asset rollforwards'!E16)</f>
        <v>125162.50000000004</v>
      </c>
      <c r="I16" s="53">
        <f>'Income statement'!D14</f>
        <v>-63000</v>
      </c>
      <c r="J16" s="53">
        <f>'Income statement'!E14</f>
        <v>0</v>
      </c>
      <c r="K16" s="53">
        <f>'Income statement'!K14</f>
        <v>0</v>
      </c>
      <c r="L16" s="53">
        <f>-'Income statement'!M14</f>
        <v>-446167.53034438833</v>
      </c>
      <c r="M16" s="53">
        <f t="shared" ref="M16:M25" si="0">M15+SUM(B16:L16)</f>
        <v>2321864.9696556125</v>
      </c>
      <c r="O16" s="53">
        <f>B16+C16+D16+E16+F16+G16+I16+J16+K16</f>
        <v>2642870.0000000009</v>
      </c>
      <c r="P16" s="53">
        <f>O16-C16</f>
        <v>10162870</v>
      </c>
    </row>
    <row r="17" spans="1:16" x14ac:dyDescent="0.25">
      <c r="A17" s="20">
        <v>2</v>
      </c>
      <c r="B17" s="53">
        <f>'Income statement'!B15</f>
        <v>10063655.899999999</v>
      </c>
      <c r="C17" s="53">
        <f>-'Actuarial balances'!D92</f>
        <v>0</v>
      </c>
      <c r="D17" s="53">
        <f>'Income statement'!G15</f>
        <v>0</v>
      </c>
      <c r="E17" s="53">
        <f>'Income statement'!H15</f>
        <v>-33893.633549999999</v>
      </c>
      <c r="F17" s="53">
        <f>'Income statement'!I15</f>
        <v>-731.03915499999994</v>
      </c>
      <c r="G17" s="53">
        <f>'Income statement'!J15</f>
        <v>-226432.25774999996</v>
      </c>
      <c r="H17" s="53">
        <f>Input!C19*('Invested asset rollforwards'!M16+'Invested asset rollforwards'!B17+'Invested asset rollforwards'!C17+'Invested asset rollforwards'!D17+'Invested asset rollforwards'!E17)</f>
        <v>524944.15753448848</v>
      </c>
      <c r="I17" s="53">
        <f>'Income statement'!D15</f>
        <v>-73103.915500000003</v>
      </c>
      <c r="J17" s="53">
        <f>'Income statement'!E15</f>
        <v>-494846.8435109721</v>
      </c>
      <c r="K17" s="53">
        <f>'Income statement'!K15</f>
        <v>-341139.60173965519</v>
      </c>
      <c r="L17" s="53">
        <f>-'Income statement'!M15</f>
        <v>-410245.19837480981</v>
      </c>
      <c r="M17" s="53">
        <f t="shared" si="0"/>
        <v>11330072.537609663</v>
      </c>
      <c r="O17" s="53">
        <f t="shared" ref="O17:O25" si="1">B17+C17+D17+E17+F17+G17+I17+J17+K17</f>
        <v>8893508.6087943707</v>
      </c>
      <c r="P17" s="53">
        <f t="shared" ref="P17:P25" si="2">O17-C17</f>
        <v>8893508.6087943707</v>
      </c>
    </row>
    <row r="18" spans="1:16" x14ac:dyDescent="0.25">
      <c r="A18" s="20">
        <v>3</v>
      </c>
      <c r="B18" s="53">
        <f>'Income statement'!B16</f>
        <v>9553111.5407091491</v>
      </c>
      <c r="C18" s="53">
        <f>-'Actuarial balances'!D93</f>
        <v>0</v>
      </c>
      <c r="D18" s="53">
        <f>'Income statement'!G16</f>
        <v>0</v>
      </c>
      <c r="E18" s="53">
        <f>'Income statement'!H16</f>
        <v>-32817.64185314934</v>
      </c>
      <c r="F18" s="53">
        <f>'Income statement'!I16</f>
        <v>-892.22456842472241</v>
      </c>
      <c r="G18" s="53">
        <f>'Income statement'!J16</f>
        <v>-214945.00966595585</v>
      </c>
      <c r="H18" s="53">
        <f>Input!C20*('Invested asset rollforwards'!M17+'Invested asset rollforwards'!B18+'Invested asset rollforwards'!C18+'Invested asset rollforwards'!D18+'Invested asset rollforwards'!E18)</f>
        <v>886140.57354979066</v>
      </c>
      <c r="I18" s="53">
        <f>'Income statement'!D16</f>
        <v>-89222.456842472238</v>
      </c>
      <c r="J18" s="53">
        <f>'Income statement'!E16</f>
        <v>-945490.85153257463</v>
      </c>
      <c r="K18" s="53">
        <f>'Income statement'!K16</f>
        <v>-590683.61678943178</v>
      </c>
      <c r="L18" s="53">
        <f>-'Income statement'!M16</f>
        <v>-346191.33979111351</v>
      </c>
      <c r="M18" s="53">
        <f t="shared" si="0"/>
        <v>19549081.510825478</v>
      </c>
      <c r="O18" s="53">
        <f t="shared" si="1"/>
        <v>7679059.7394571379</v>
      </c>
      <c r="P18" s="53">
        <f t="shared" si="2"/>
        <v>7679059.7394571379</v>
      </c>
    </row>
    <row r="19" spans="1:16" x14ac:dyDescent="0.25">
      <c r="A19" s="20">
        <v>4</v>
      </c>
      <c r="B19" s="53">
        <f>'Income statement'!B17</f>
        <v>9066471.2622696552</v>
      </c>
      <c r="C19" s="53">
        <f>-'Actuarial balances'!D94</f>
        <v>0</v>
      </c>
      <c r="D19" s="53">
        <f>'Income statement'!G17</f>
        <v>0</v>
      </c>
      <c r="E19" s="53">
        <f>'Income statement'!H17</f>
        <v>-31768.81266369556</v>
      </c>
      <c r="F19" s="53">
        <f>'Income statement'!I17</f>
        <v>-975.07332443277414</v>
      </c>
      <c r="G19" s="53">
        <f>'Income statement'!J17</f>
        <v>-203995.60340106723</v>
      </c>
      <c r="H19" s="53">
        <f>Input!C21*('Invested asset rollforwards'!M18+'Invested asset rollforwards'!B19+'Invested asset rollforwards'!C19+'Invested asset rollforwards'!D19+'Invested asset rollforwards'!E19)</f>
        <v>1214810.818318336</v>
      </c>
      <c r="I19" s="53">
        <f>'Income statement'!D17</f>
        <v>-97507.332443277424</v>
      </c>
      <c r="J19" s="53">
        <f>'Income statement'!E17</f>
        <v>-1355541.984443431</v>
      </c>
      <c r="K19" s="53">
        <f>'Income statement'!K17</f>
        <v>-809053.55363827874</v>
      </c>
      <c r="L19" s="53">
        <f>-'Income statement'!M17</f>
        <v>-288454.60463840968</v>
      </c>
      <c r="M19" s="53">
        <f t="shared" si="0"/>
        <v>27043066.626860876</v>
      </c>
      <c r="O19" s="53">
        <f t="shared" si="1"/>
        <v>6567628.9023554735</v>
      </c>
      <c r="P19" s="53">
        <f t="shared" si="2"/>
        <v>6567628.9023554735</v>
      </c>
    </row>
    <row r="20" spans="1:16" x14ac:dyDescent="0.25">
      <c r="A20" s="20">
        <v>5</v>
      </c>
      <c r="B20" s="53">
        <f>'Income statement'!B18</f>
        <v>8603328.7107791342</v>
      </c>
      <c r="C20" s="53">
        <f>-'Actuarial balances'!D95</f>
        <v>0</v>
      </c>
      <c r="D20" s="53">
        <f>'Income statement'!G18</f>
        <v>0</v>
      </c>
      <c r="E20" s="53">
        <f>'Income statement'!H18</f>
        <v>-30748.885734523923</v>
      </c>
      <c r="F20" s="53">
        <f>'Income statement'!I18</f>
        <v>-1038.8925235657823</v>
      </c>
      <c r="G20" s="53">
        <f>'Income statement'!J18</f>
        <v>-193574.89599253051</v>
      </c>
      <c r="H20" s="53">
        <f>Input!C22*('Invested asset rollforwards'!M19+'Invested asset rollforwards'!B20+'Invested asset rollforwards'!C20+'Invested asset rollforwards'!D20+'Invested asset rollforwards'!E20)</f>
        <v>1513664.9742059833</v>
      </c>
      <c r="I20" s="53">
        <f>'Income statement'!D18</f>
        <v>-103889.25235657823</v>
      </c>
      <c r="J20" s="53">
        <f>'Income statement'!E18</f>
        <v>-1727870.6439564298</v>
      </c>
      <c r="K20" s="53">
        <f>'Income statement'!K18</f>
        <v>-1003887.0643936034</v>
      </c>
      <c r="L20" s="53">
        <f>-'Income statement'!M18</f>
        <v>-236139.245182844</v>
      </c>
      <c r="M20" s="53">
        <f t="shared" si="0"/>
        <v>33862911.431705914</v>
      </c>
      <c r="O20" s="53">
        <f t="shared" si="1"/>
        <v>5542319.0758219017</v>
      </c>
      <c r="P20" s="53">
        <f t="shared" si="2"/>
        <v>5542319.0758219017</v>
      </c>
    </row>
    <row r="21" spans="1:16" x14ac:dyDescent="0.25">
      <c r="A21" s="20">
        <v>6</v>
      </c>
      <c r="B21" s="53">
        <f>'Income statement'!B19</f>
        <v>8162700.6275278702</v>
      </c>
      <c r="C21" s="53">
        <f>-'Actuarial balances'!D96</f>
        <v>0</v>
      </c>
      <c r="D21" s="53">
        <f>'Income statement'!G19</f>
        <v>0</v>
      </c>
      <c r="E21" s="53">
        <f>'Income statement'!H19</f>
        <v>-29757.531818799438</v>
      </c>
      <c r="F21" s="53">
        <f>'Income statement'!I19</f>
        <v>-1078.092535711228</v>
      </c>
      <c r="G21" s="53">
        <f>'Income statement'!J19</f>
        <v>-183660.76411937707</v>
      </c>
      <c r="H21" s="53">
        <f>Input!C23*('Invested asset rollforwards'!M20+'Invested asset rollforwards'!B21+'Invested asset rollforwards'!C21+'Invested asset rollforwards'!D21+'Invested asset rollforwards'!E21)</f>
        <v>1784823.8174151371</v>
      </c>
      <c r="I21" s="53">
        <f>'Income statement'!D19</f>
        <v>-107809.25357112281</v>
      </c>
      <c r="J21" s="53">
        <f>'Income statement'!E19</f>
        <v>-2065207.5839277434</v>
      </c>
      <c r="K21" s="53">
        <f>'Income statement'!K19</f>
        <v>-1176961.6674566085</v>
      </c>
      <c r="L21" s="53">
        <f>-'Income statement'!M19</f>
        <v>-188877.30944579828</v>
      </c>
      <c r="M21" s="53">
        <f t="shared" si="0"/>
        <v>40057083.673773766</v>
      </c>
      <c r="O21" s="53">
        <f t="shared" si="1"/>
        <v>4598225.734098508</v>
      </c>
      <c r="P21" s="53">
        <f t="shared" si="2"/>
        <v>4598225.734098508</v>
      </c>
    </row>
    <row r="22" spans="1:16" x14ac:dyDescent="0.25">
      <c r="A22" s="20">
        <v>7</v>
      </c>
      <c r="B22" s="53">
        <f>'Income statement'!B20</f>
        <v>7743709.2043168647</v>
      </c>
      <c r="C22" s="53">
        <f>-'Actuarial balances'!D97</f>
        <v>0</v>
      </c>
      <c r="D22" s="53">
        <f>'Income statement'!G20</f>
        <v>0</v>
      </c>
      <c r="E22" s="53">
        <f>'Income statement'!H20</f>
        <v>-28794.679264751274</v>
      </c>
      <c r="F22" s="53">
        <f>'Income statement'!I20</f>
        <v>-1154.2509946057214</v>
      </c>
      <c r="G22" s="53">
        <f>'Income statement'!J20</f>
        <v>-174233.45709712946</v>
      </c>
      <c r="H22" s="53">
        <f>Input!C24*('Invested asset rollforwards'!M21+'Invested asset rollforwards'!B22+'Invested asset rollforwards'!C22+'Invested asset rollforwards'!D22+'Invested asset rollforwards'!E22)</f>
        <v>2030309.9234500998</v>
      </c>
      <c r="I22" s="53">
        <f>'Income statement'!D20</f>
        <v>-115425.09946057212</v>
      </c>
      <c r="J22" s="53">
        <f>'Income statement'!E20</f>
        <v>-2369686.833130823</v>
      </c>
      <c r="K22" s="53">
        <f>'Income statement'!K20</f>
        <v>-1332606.716704448</v>
      </c>
      <c r="L22" s="53">
        <f>-'Income statement'!M20</f>
        <v>-146010.08289428207</v>
      </c>
      <c r="M22" s="53">
        <f t="shared" si="0"/>
        <v>45663191.681994118</v>
      </c>
      <c r="O22" s="53">
        <f t="shared" si="1"/>
        <v>3721808.1676645344</v>
      </c>
      <c r="P22" s="53">
        <f t="shared" si="2"/>
        <v>3721808.1676645344</v>
      </c>
    </row>
    <row r="23" spans="1:16" x14ac:dyDescent="0.25">
      <c r="A23" s="20">
        <v>8</v>
      </c>
      <c r="B23" s="53">
        <f>'Income statement'!B21</f>
        <v>7344900.4365853416</v>
      </c>
      <c r="C23" s="53">
        <f>-'Actuarial balances'!D98</f>
        <v>0</v>
      </c>
      <c r="D23" s="53">
        <f>'Income statement'!G21</f>
        <v>0</v>
      </c>
      <c r="E23" s="53">
        <f>'Income statement'!H21</f>
        <v>-27857.958977696067</v>
      </c>
      <c r="F23" s="53">
        <f>'Income statement'!I21</f>
        <v>-1233.3889412379158</v>
      </c>
      <c r="G23" s="53">
        <f>'Income statement'!J21</f>
        <v>-165260.25982317017</v>
      </c>
      <c r="H23" s="53">
        <f>Input!C25*('Invested asset rollforwards'!M22+'Invested asset rollforwards'!B23+'Invested asset rollforwards'!C23+'Invested asset rollforwards'!D23+'Invested asset rollforwards'!E23)</f>
        <v>2251659.951783075</v>
      </c>
      <c r="I23" s="53">
        <f>'Income statement'!D21</f>
        <v>-123338.89412379157</v>
      </c>
      <c r="J23" s="53">
        <f>'Income statement'!E21</f>
        <v>-2643568.7972881794</v>
      </c>
      <c r="K23" s="53">
        <f>'Income statement'!K21</f>
        <v>-1469823.1398540803</v>
      </c>
      <c r="L23" s="53">
        <f>-'Income statement'!M21</f>
        <v>-107432.63833246555</v>
      </c>
      <c r="M23" s="53">
        <f t="shared" si="0"/>
        <v>50721236.993021913</v>
      </c>
      <c r="O23" s="53">
        <f t="shared" si="1"/>
        <v>2913817.9975771857</v>
      </c>
      <c r="P23" s="53">
        <f t="shared" si="2"/>
        <v>2913817.9975771857</v>
      </c>
    </row>
    <row r="24" spans="1:16" x14ac:dyDescent="0.25">
      <c r="A24" s="20">
        <v>9</v>
      </c>
      <c r="B24" s="53">
        <f>'Income statement'!B22</f>
        <v>6965235.1881178087</v>
      </c>
      <c r="C24" s="53">
        <f>-'Actuarial balances'!D99</f>
        <v>0</v>
      </c>
      <c r="D24" s="53">
        <f>'Income statement'!G22</f>
        <v>0</v>
      </c>
      <c r="E24" s="53">
        <f>'Income statement'!H22</f>
        <v>-26946.312284583579</v>
      </c>
      <c r="F24" s="53">
        <f>'Income statement'!I22</f>
        <v>-1320.766295105358</v>
      </c>
      <c r="G24" s="53">
        <f>'Income statement'!J22</f>
        <v>-156717.79173265069</v>
      </c>
      <c r="H24" s="53">
        <f>Input!C26*('Invested asset rollforwards'!M23+'Invested asset rollforwards'!B24+'Invested asset rollforwards'!C24+'Invested asset rollforwards'!D24+'Invested asset rollforwards'!E24)</f>
        <v>2450529.8494263436</v>
      </c>
      <c r="I24" s="53">
        <f>'Income statement'!D22</f>
        <v>-132076.6295105358</v>
      </c>
      <c r="J24" s="53">
        <f>'Income statement'!E22</f>
        <v>-2888960.0836434802</v>
      </c>
      <c r="K24" s="53">
        <f>'Income statement'!K22</f>
        <v>-1589674.2942208289</v>
      </c>
      <c r="L24" s="53">
        <f>-'Income statement'!M22</f>
        <v>-72835.477113037137</v>
      </c>
      <c r="M24" s="53">
        <f t="shared" si="0"/>
        <v>55268470.675765842</v>
      </c>
      <c r="O24" s="53">
        <f t="shared" si="1"/>
        <v>2169539.310430625</v>
      </c>
      <c r="P24" s="53">
        <f t="shared" si="2"/>
        <v>2169539.310430625</v>
      </c>
    </row>
    <row r="25" spans="1:16" x14ac:dyDescent="0.25">
      <c r="A25" s="20">
        <v>10</v>
      </c>
      <c r="B25" s="53">
        <f>'Income statement'!B23</f>
        <v>6603673.3121202067</v>
      </c>
      <c r="C25" s="53">
        <f>-'Actuarial balances'!D100</f>
        <v>0</v>
      </c>
      <c r="D25" s="53">
        <f>'Income statement'!G23</f>
        <v>0</v>
      </c>
      <c r="E25" s="53">
        <f>'Income statement'!H23</f>
        <v>-26058.493540787924</v>
      </c>
      <c r="F25" s="53">
        <f>'Income statement'!I23</f>
        <v>-1395.4932282216287</v>
      </c>
      <c r="G25" s="53">
        <f>'Income statement'!J23</f>
        <v>-148582.64952270465</v>
      </c>
      <c r="H25" s="53">
        <f>Input!C27*('Invested asset rollforwards'!M24+'Invested asset rollforwards'!B25+'Invested asset rollforwards'!C25+'Invested asset rollforwards'!D25+'Invested asset rollforwards'!E25)</f>
        <v>2628458.6335096736</v>
      </c>
      <c r="I25" s="53">
        <f>'Income statement'!D23</f>
        <v>-139549.32282216285</v>
      </c>
      <c r="J25" s="53">
        <f>'Income statement'!E23</f>
        <v>-62465458.737606488</v>
      </c>
      <c r="K25" s="53">
        <f>'Income statement'!K23</f>
        <v>-1692858.9685980068</v>
      </c>
      <c r="L25" s="53">
        <f>-'Income statement'!M23</f>
        <v>-26698.956077353796</v>
      </c>
      <c r="M25" s="53">
        <f t="shared" si="0"/>
        <v>0</v>
      </c>
      <c r="O25" s="53">
        <f t="shared" si="1"/>
        <v>-57870230.353198171</v>
      </c>
      <c r="P25" s="53">
        <f t="shared" si="2"/>
        <v>-57870230.353198171</v>
      </c>
    </row>
    <row r="26" spans="1:16" x14ac:dyDescent="0.25">
      <c r="B26" s="53"/>
      <c r="C26" s="53"/>
      <c r="D26" s="53"/>
      <c r="E26" s="53"/>
      <c r="F26" s="53"/>
      <c r="G26" s="53"/>
      <c r="H26" s="53"/>
      <c r="I26" s="53"/>
      <c r="J26" s="53"/>
      <c r="K26" s="53"/>
      <c r="L26" s="53"/>
      <c r="M26" s="53"/>
    </row>
    <row r="27" spans="1:16" x14ac:dyDescent="0.25">
      <c r="A27" s="4" t="s">
        <v>81</v>
      </c>
    </row>
    <row r="29" spans="1:16" x14ac:dyDescent="0.25">
      <c r="A29" s="3" t="s">
        <v>47</v>
      </c>
    </row>
    <row r="30" spans="1:16" x14ac:dyDescent="0.25">
      <c r="A30" s="3"/>
    </row>
    <row r="31" spans="1:16" x14ac:dyDescent="0.25">
      <c r="B31" s="44"/>
      <c r="C31" s="44" t="s">
        <v>25</v>
      </c>
      <c r="D31" s="44" t="s">
        <v>40</v>
      </c>
      <c r="E31" s="44"/>
      <c r="F31" s="44"/>
      <c r="G31" s="44"/>
      <c r="I31" s="44"/>
      <c r="J31" s="44"/>
      <c r="K31" s="44"/>
      <c r="L31" s="44"/>
      <c r="M31" s="44" t="s">
        <v>49</v>
      </c>
    </row>
    <row r="32" spans="1:16" x14ac:dyDescent="0.25">
      <c r="A32" s="44" t="s">
        <v>0</v>
      </c>
      <c r="B32" s="44"/>
      <c r="C32" s="44" t="s">
        <v>10</v>
      </c>
      <c r="D32" s="44" t="s">
        <v>27</v>
      </c>
      <c r="E32" s="44" t="s">
        <v>9</v>
      </c>
      <c r="F32" s="44" t="s">
        <v>126</v>
      </c>
      <c r="G32" s="44" t="s">
        <v>4</v>
      </c>
      <c r="H32" s="44" t="s">
        <v>7</v>
      </c>
      <c r="I32" s="44" t="s">
        <v>41</v>
      </c>
      <c r="J32" s="44" t="s">
        <v>11</v>
      </c>
      <c r="K32" s="44" t="s">
        <v>127</v>
      </c>
      <c r="L32" s="44" t="s">
        <v>16</v>
      </c>
      <c r="M32" s="44" t="s">
        <v>14</v>
      </c>
    </row>
    <row r="33" spans="1:13" x14ac:dyDescent="0.25">
      <c r="A33" s="2" t="s">
        <v>1</v>
      </c>
      <c r="B33" s="2" t="s">
        <v>4</v>
      </c>
      <c r="C33" s="2" t="s">
        <v>36</v>
      </c>
      <c r="D33" s="2" t="s">
        <v>36</v>
      </c>
      <c r="E33" s="2" t="s">
        <v>36</v>
      </c>
      <c r="F33" s="2" t="s">
        <v>36</v>
      </c>
      <c r="G33" s="2" t="s">
        <v>55</v>
      </c>
      <c r="H33" s="2" t="s">
        <v>8</v>
      </c>
      <c r="I33" s="2" t="s">
        <v>42</v>
      </c>
      <c r="J33" s="2" t="s">
        <v>42</v>
      </c>
      <c r="K33" s="2" t="s">
        <v>48</v>
      </c>
      <c r="L33" s="2" t="s">
        <v>48</v>
      </c>
      <c r="M33" s="2" t="s">
        <v>34</v>
      </c>
    </row>
    <row r="34" spans="1:13" x14ac:dyDescent="0.25">
      <c r="D34" s="45"/>
      <c r="L34" s="53"/>
      <c r="M34" s="53">
        <v>0</v>
      </c>
    </row>
    <row r="35" spans="1:13" x14ac:dyDescent="0.25">
      <c r="A35" s="20">
        <v>1</v>
      </c>
      <c r="B35" s="53">
        <f>'Income statement'!B31</f>
        <v>10600000</v>
      </c>
      <c r="C35" s="53">
        <f>-'Actuarial balances'!D185</f>
        <v>-7519999.9999999991</v>
      </c>
      <c r="D35" s="53">
        <f>'Income statement'!G31</f>
        <v>-100000</v>
      </c>
      <c r="E35" s="53">
        <f>'Income statement'!H31</f>
        <v>-35000</v>
      </c>
      <c r="F35" s="53">
        <f>'Income statement'!I31</f>
        <v>-630</v>
      </c>
      <c r="G35" s="53">
        <f>'Income statement'!J31</f>
        <v>-238500</v>
      </c>
      <c r="H35" s="53">
        <f>Input!C39*('Invested asset rollforwards'!M34+'Invested asset rollforwards'!B35+'Invested asset rollforwards'!C35+'Invested asset rollforwards'!D35+'Invested asset rollforwards'!E35)</f>
        <v>125162.50000000004</v>
      </c>
      <c r="I35" s="53">
        <f>'Income statement'!D31</f>
        <v>-63000</v>
      </c>
      <c r="J35" s="53">
        <f>'Income statement'!E31</f>
        <v>0</v>
      </c>
      <c r="K35" s="53">
        <f>'Income statement'!K31</f>
        <v>0</v>
      </c>
      <c r="L35" s="53">
        <f>-'Income statement'!M31</f>
        <v>-446167.53034438833</v>
      </c>
      <c r="M35" s="53">
        <f t="shared" ref="M35:M44" si="3">M34+SUM(B35:L35)</f>
        <v>2321864.9696556125</v>
      </c>
    </row>
    <row r="36" spans="1:13" x14ac:dyDescent="0.25">
      <c r="A36" s="20">
        <v>2</v>
      </c>
      <c r="B36" s="53">
        <f>'Income statement'!B32</f>
        <v>10063655.899999999</v>
      </c>
      <c r="C36" s="53">
        <f>-'Actuarial balances'!D186</f>
        <v>0</v>
      </c>
      <c r="D36" s="53">
        <f>'Income statement'!G32</f>
        <v>0</v>
      </c>
      <c r="E36" s="53">
        <f>'Income statement'!H32</f>
        <v>-33893.633549999999</v>
      </c>
      <c r="F36" s="53">
        <f>'Income statement'!I32</f>
        <v>-731.03915499999994</v>
      </c>
      <c r="G36" s="53">
        <f>'Income statement'!J32</f>
        <v>-226432.25774999996</v>
      </c>
      <c r="H36" s="53">
        <f>Input!C40*('Invested asset rollforwards'!M35+'Invested asset rollforwards'!B36+'Invested asset rollforwards'!C36+'Invested asset rollforwards'!D36+'Invested asset rollforwards'!E36)</f>
        <v>524944.15753448848</v>
      </c>
      <c r="I36" s="53">
        <f>'Income statement'!D32</f>
        <v>-73103.915500000003</v>
      </c>
      <c r="J36" s="53">
        <f>'Income statement'!E32</f>
        <v>-494846.8435109721</v>
      </c>
      <c r="K36" s="53">
        <f>'Income statement'!K32</f>
        <v>-341139.60173965519</v>
      </c>
      <c r="L36" s="53">
        <f>-'Income statement'!M32</f>
        <v>-410245.19837480981</v>
      </c>
      <c r="M36" s="53">
        <f t="shared" si="3"/>
        <v>11330072.537609663</v>
      </c>
    </row>
    <row r="37" spans="1:13" x14ac:dyDescent="0.25">
      <c r="A37" s="20">
        <v>3</v>
      </c>
      <c r="B37" s="53">
        <f>'Income statement'!B33</f>
        <v>9553111.5407091491</v>
      </c>
      <c r="C37" s="53">
        <f>-'Actuarial balances'!D187</f>
        <v>0</v>
      </c>
      <c r="D37" s="53">
        <f>'Income statement'!G33</f>
        <v>0</v>
      </c>
      <c r="E37" s="53">
        <f>'Income statement'!H33</f>
        <v>-32817.64185314934</v>
      </c>
      <c r="F37" s="53">
        <f>'Income statement'!I33</f>
        <v>-892.22456842472241</v>
      </c>
      <c r="G37" s="53">
        <f>'Income statement'!J33</f>
        <v>-214945.00966595585</v>
      </c>
      <c r="H37" s="53">
        <f>Input!C41*('Invested asset rollforwards'!M36+'Invested asset rollforwards'!B37+'Invested asset rollforwards'!C37+'Invested asset rollforwards'!D37+'Invested asset rollforwards'!E37)</f>
        <v>886140.57354979066</v>
      </c>
      <c r="I37" s="53">
        <f>'Income statement'!D33</f>
        <v>-89222.456842472238</v>
      </c>
      <c r="J37" s="53">
        <f>'Income statement'!E33</f>
        <v>-945490.85153257463</v>
      </c>
      <c r="K37" s="53">
        <f>'Income statement'!K33</f>
        <v>-590683.61678943178</v>
      </c>
      <c r="L37" s="53">
        <f>-'Income statement'!M33</f>
        <v>-346191.33979111724</v>
      </c>
      <c r="M37" s="53">
        <f t="shared" si="3"/>
        <v>19549081.510825474</v>
      </c>
    </row>
    <row r="38" spans="1:13" x14ac:dyDescent="0.25">
      <c r="A38" s="20">
        <v>4</v>
      </c>
      <c r="B38" s="53">
        <f>'Income statement'!B34</f>
        <v>9066471.2622696552</v>
      </c>
      <c r="C38" s="53">
        <f>-'Actuarial balances'!D188</f>
        <v>0</v>
      </c>
      <c r="D38" s="53">
        <f>'Income statement'!G34</f>
        <v>0</v>
      </c>
      <c r="E38" s="53">
        <f>'Income statement'!H34</f>
        <v>-31768.81266369556</v>
      </c>
      <c r="F38" s="53">
        <f>'Income statement'!I34</f>
        <v>-975.07332443277414</v>
      </c>
      <c r="G38" s="53">
        <f>'Income statement'!J34</f>
        <v>-203995.60340106723</v>
      </c>
      <c r="H38" s="53">
        <f>Input!C42*('Invested asset rollforwards'!M37+'Invested asset rollforwards'!B38+'Invested asset rollforwards'!C38+'Invested asset rollforwards'!D38+'Invested asset rollforwards'!E38)</f>
        <v>1214810.818318336</v>
      </c>
      <c r="I38" s="53">
        <f>'Income statement'!D34</f>
        <v>-97507.332443277424</v>
      </c>
      <c r="J38" s="53">
        <f>'Income statement'!E34</f>
        <v>-1355541.984443431</v>
      </c>
      <c r="K38" s="53">
        <f>'Income statement'!K34</f>
        <v>-809053.55363827874</v>
      </c>
      <c r="L38" s="53">
        <f>-'Income statement'!M34</f>
        <v>-288454.60463840223</v>
      </c>
      <c r="M38" s="53">
        <f t="shared" si="3"/>
        <v>27043066.626860879</v>
      </c>
    </row>
    <row r="39" spans="1:13" x14ac:dyDescent="0.25">
      <c r="A39" s="20">
        <v>5</v>
      </c>
      <c r="B39" s="53">
        <f>'Income statement'!B35</f>
        <v>8603328.7107791342</v>
      </c>
      <c r="C39" s="53">
        <f>-'Actuarial balances'!D189</f>
        <v>0</v>
      </c>
      <c r="D39" s="53">
        <f>'Income statement'!G35</f>
        <v>0</v>
      </c>
      <c r="E39" s="53">
        <f>'Income statement'!H35</f>
        <v>-30748.885734523923</v>
      </c>
      <c r="F39" s="53">
        <f>'Income statement'!I35</f>
        <v>-1298.6156544572277</v>
      </c>
      <c r="G39" s="53">
        <f>'Income statement'!J35</f>
        <v>-193574.89599253051</v>
      </c>
      <c r="H39" s="53">
        <f>Input!C43*('Invested asset rollforwards'!M38+'Invested asset rollforwards'!B39+'Invested asset rollforwards'!C39+'Invested asset rollforwards'!D39+'Invested asset rollforwards'!E39)</f>
        <v>1513664.9742059838</v>
      </c>
      <c r="I39" s="53">
        <f>'Income statement'!D35</f>
        <v>-129861.56544572279</v>
      </c>
      <c r="J39" s="53">
        <f>'Income statement'!E35</f>
        <v>-1727317.0167074848</v>
      </c>
      <c r="K39" s="53">
        <f>'Income statement'!K35</f>
        <v>-1003887.0643936034</v>
      </c>
      <c r="L39" s="53">
        <f>-'Income statement'!M35</f>
        <v>-222159.78453269589</v>
      </c>
      <c r="M39" s="53">
        <f t="shared" si="3"/>
        <v>33851212.483384982</v>
      </c>
    </row>
    <row r="40" spans="1:13" x14ac:dyDescent="0.25">
      <c r="A40" s="20">
        <v>6</v>
      </c>
      <c r="B40" s="53">
        <f>'Income statement'!B36</f>
        <v>8160085.215599793</v>
      </c>
      <c r="C40" s="53">
        <f>-'Actuarial balances'!D190</f>
        <v>0</v>
      </c>
      <c r="D40" s="53">
        <f>'Income statement'!G36</f>
        <v>0</v>
      </c>
      <c r="E40" s="53">
        <f>'Income statement'!H36</f>
        <v>-29747.997204310876</v>
      </c>
      <c r="F40" s="53">
        <f>'Income statement'!I36</f>
        <v>-1077.7471039471425</v>
      </c>
      <c r="G40" s="53">
        <f>'Income statement'!J36</f>
        <v>-183601.91735099533</v>
      </c>
      <c r="H40" s="53">
        <f>Input!C44*('Invested asset rollforwards'!M39+'Invested asset rollforwards'!B40+'Invested asset rollforwards'!C40+'Invested asset rollforwards'!D40+'Invested asset rollforwards'!E40)</f>
        <v>1784215.8623256697</v>
      </c>
      <c r="I40" s="53">
        <f>'Income statement'!D36</f>
        <v>-107774.71039471425</v>
      </c>
      <c r="J40" s="53">
        <f>'Income statement'!E36</f>
        <v>-2064545.870507709</v>
      </c>
      <c r="K40" s="53">
        <f>'Income statement'!K36</f>
        <v>-1176584.5570216656</v>
      </c>
      <c r="L40" s="53">
        <f>-'Income statement'!M36</f>
        <v>-188592.5121796811</v>
      </c>
      <c r="M40" s="53">
        <f t="shared" si="3"/>
        <v>40043588.249547422</v>
      </c>
    </row>
    <row r="41" spans="1:13" x14ac:dyDescent="0.25">
      <c r="A41" s="20">
        <v>7</v>
      </c>
      <c r="B41" s="53">
        <f>'Income statement'!B37</f>
        <v>7741228.0414830549</v>
      </c>
      <c r="C41" s="53">
        <f>-'Actuarial balances'!D191</f>
        <v>0</v>
      </c>
      <c r="D41" s="53">
        <f>'Income statement'!G37</f>
        <v>0</v>
      </c>
      <c r="E41" s="53">
        <f>'Income statement'!H37</f>
        <v>-28785.453157969871</v>
      </c>
      <c r="F41" s="53">
        <f>'Income statement'!I37</f>
        <v>-1153.8811609003044</v>
      </c>
      <c r="G41" s="53">
        <f>'Income statement'!J37</f>
        <v>-174177.63093336872</v>
      </c>
      <c r="H41" s="53">
        <f>Input!C45*('Invested asset rollforwards'!M40+'Invested asset rollforwards'!B41+'Invested asset rollforwards'!C41+'Invested asset rollforwards'!D41+'Invested asset rollforwards'!E41)</f>
        <v>2029631.3106095816</v>
      </c>
      <c r="I41" s="53">
        <f>'Income statement'!D37</f>
        <v>-115388.11609003044</v>
      </c>
      <c r="J41" s="53">
        <f>'Income statement'!E37</f>
        <v>-2368927.5614765035</v>
      </c>
      <c r="K41" s="53">
        <f>'Income statement'!K37</f>
        <v>-1332179.736019826</v>
      </c>
      <c r="L41" s="53">
        <f>-'Income statement'!M37</f>
        <v>-145756.6794897397</v>
      </c>
      <c r="M41" s="53">
        <f t="shared" si="3"/>
        <v>45648078.543311715</v>
      </c>
    </row>
    <row r="42" spans="1:13" x14ac:dyDescent="0.25">
      <c r="A42" s="20">
        <v>8</v>
      </c>
      <c r="B42" s="53">
        <f>'Income statement'!B38</f>
        <v>7342547.0561186345</v>
      </c>
      <c r="C42" s="53">
        <f>-'Actuarial balances'!D192</f>
        <v>0</v>
      </c>
      <c r="D42" s="53">
        <f>'Income statement'!G38</f>
        <v>0</v>
      </c>
      <c r="E42" s="53">
        <f>'Income statement'!H38</f>
        <v>-27849.033005578891</v>
      </c>
      <c r="F42" s="53">
        <f>'Income statement'!I38</f>
        <v>-1232.9937509331294</v>
      </c>
      <c r="G42" s="53">
        <f>'Income statement'!J38</f>
        <v>-165207.30876266927</v>
      </c>
      <c r="H42" s="53">
        <f>Input!C46*('Invested asset rollforwards'!M41+'Invested asset rollforwards'!B42+'Invested asset rollforwards'!C42+'Invested asset rollforwards'!D42+'Invested asset rollforwards'!E42)</f>
        <v>2250918.0040730531</v>
      </c>
      <c r="I42" s="53">
        <f>'Income statement'!D38</f>
        <v>-123299.37509331295</v>
      </c>
      <c r="J42" s="53">
        <f>'Income statement'!E38</f>
        <v>-2642721.7710794993</v>
      </c>
      <c r="K42" s="53">
        <f>'Income statement'!K38</f>
        <v>-1469352.1936381701</v>
      </c>
      <c r="L42" s="53">
        <f>-'Income statement'!M38</f>
        <v>-107208.37840555771</v>
      </c>
      <c r="M42" s="53">
        <f t="shared" si="3"/>
        <v>50704672.54976768</v>
      </c>
    </row>
    <row r="43" spans="1:13" x14ac:dyDescent="0.25">
      <c r="A43" s="20">
        <v>9</v>
      </c>
      <c r="B43" s="53">
        <f>'Income statement'!B39</f>
        <v>6963003.4562408067</v>
      </c>
      <c r="C43" s="53">
        <f>-'Actuarial balances'!D193</f>
        <v>0</v>
      </c>
      <c r="D43" s="53">
        <f>'Income statement'!G39</f>
        <v>0</v>
      </c>
      <c r="E43" s="53">
        <f>'Income statement'!H39</f>
        <v>-26937.678413297264</v>
      </c>
      <c r="F43" s="53">
        <f>'Income statement'!I39</f>
        <v>-1320.3431082117006</v>
      </c>
      <c r="G43" s="53">
        <f>'Income statement'!J39</f>
        <v>-156667.57776541816</v>
      </c>
      <c r="H43" s="53">
        <f>Input!C47*('Invested asset rollforwards'!M42+'Invested asset rollforwards'!B43+'Invested asset rollforwards'!C43+'Invested asset rollforwards'!D43+'Invested asset rollforwards'!E43)</f>
        <v>2449731.3789227959</v>
      </c>
      <c r="I43" s="53">
        <f>'Income statement'!D39</f>
        <v>-132034.31082117007</v>
      </c>
      <c r="J43" s="53">
        <f>'Income statement'!E39</f>
        <v>-2888034.4315820755</v>
      </c>
      <c r="K43" s="53">
        <f>'Income statement'!K39</f>
        <v>-1589164.9464815718</v>
      </c>
      <c r="L43" s="53">
        <f>-'Income statement'!M39</f>
        <v>-72638.253181323875</v>
      </c>
      <c r="M43" s="53">
        <f t="shared" si="3"/>
        <v>55250609.843578219</v>
      </c>
    </row>
    <row r="44" spans="1:13" x14ac:dyDescent="0.25">
      <c r="A44" s="20">
        <v>10</v>
      </c>
      <c r="B44" s="53">
        <f>'Income statement'!B40</f>
        <v>6601557.4283290748</v>
      </c>
      <c r="C44" s="53">
        <f>-'Actuarial balances'!D194</f>
        <v>0</v>
      </c>
      <c r="D44" s="53">
        <f>'Income statement'!G40</f>
        <v>0</v>
      </c>
      <c r="E44" s="53">
        <f>'Income statement'!H40</f>
        <v>-26050.144135616254</v>
      </c>
      <c r="F44" s="53">
        <f>'Income statement'!I40</f>
        <v>-1395.0460980619932</v>
      </c>
      <c r="G44" s="53">
        <f>'Income statement'!J40</f>
        <v>-148535.04213740418</v>
      </c>
      <c r="H44" s="53">
        <f>Input!C48*('Invested asset rollforwards'!M43+'Invested asset rollforwards'!B44+'Invested asset rollforwards'!C44+'Invested asset rollforwards'!D44+'Invested asset rollforwards'!E44)</f>
        <v>2627609.9779302962</v>
      </c>
      <c r="I44" s="53">
        <f>'Income statement'!D40</f>
        <v>-139504.60980619933</v>
      </c>
      <c r="J44" s="53">
        <f>'Income statement'!E40</f>
        <v>-62445444.172166683</v>
      </c>
      <c r="K44" s="53">
        <f>'Income statement'!K40</f>
        <v>-1692316.5594443383</v>
      </c>
      <c r="L44" s="53">
        <f>-'Income statement'!M40</f>
        <v>-26531.676049281727</v>
      </c>
      <c r="M44" s="53">
        <f t="shared" si="3"/>
        <v>0</v>
      </c>
    </row>
    <row r="45" spans="1:13" x14ac:dyDescent="0.25">
      <c r="K45" s="53"/>
    </row>
    <row r="46" spans="1:13" x14ac:dyDescent="0.25">
      <c r="A46" s="4"/>
      <c r="K46" s="53"/>
    </row>
    <row r="48" spans="1:13" x14ac:dyDescent="0.25">
      <c r="A48" s="3"/>
    </row>
    <row r="49" spans="1:13" x14ac:dyDescent="0.25">
      <c r="A49" s="3"/>
    </row>
    <row r="50" spans="1:13" x14ac:dyDescent="0.25">
      <c r="B50" s="44"/>
      <c r="C50" s="44"/>
      <c r="D50" s="44"/>
      <c r="E50" s="44"/>
      <c r="F50" s="44"/>
      <c r="G50" s="44"/>
      <c r="I50" s="44"/>
      <c r="J50" s="44"/>
      <c r="K50" s="44"/>
      <c r="L50" s="44"/>
      <c r="M50" s="44"/>
    </row>
    <row r="51" spans="1:13" x14ac:dyDescent="0.25">
      <c r="A51" s="44"/>
      <c r="B51" s="44"/>
      <c r="C51" s="44"/>
      <c r="D51" s="44"/>
      <c r="E51" s="44"/>
      <c r="F51" s="44"/>
      <c r="G51" s="44"/>
      <c r="H51" s="44"/>
      <c r="I51" s="44"/>
      <c r="J51" s="44"/>
      <c r="K51" s="44"/>
      <c r="L51" s="44"/>
      <c r="M51" s="44"/>
    </row>
    <row r="52" spans="1:13" x14ac:dyDescent="0.25">
      <c r="A52" s="2"/>
      <c r="B52" s="2"/>
      <c r="C52" s="2"/>
      <c r="D52" s="2"/>
      <c r="E52" s="2"/>
      <c r="F52" s="2"/>
      <c r="G52" s="2"/>
      <c r="H52" s="2"/>
      <c r="I52" s="2"/>
      <c r="J52" s="2"/>
      <c r="K52" s="2"/>
      <c r="L52" s="2"/>
      <c r="M52" s="2"/>
    </row>
    <row r="53" spans="1:13" x14ac:dyDescent="0.25">
      <c r="D53" s="45"/>
      <c r="L53" s="53"/>
      <c r="M53" s="53"/>
    </row>
    <row r="54" spans="1:13" x14ac:dyDescent="0.25">
      <c r="B54" s="53"/>
      <c r="C54" s="53"/>
      <c r="D54" s="53"/>
      <c r="E54" s="53"/>
      <c r="F54" s="53"/>
      <c r="G54" s="53"/>
      <c r="H54" s="53"/>
      <c r="I54" s="53"/>
      <c r="J54" s="53"/>
      <c r="K54" s="53"/>
      <c r="L54" s="53"/>
      <c r="M54" s="53"/>
    </row>
    <row r="55" spans="1:13" x14ac:dyDescent="0.25">
      <c r="B55" s="53"/>
      <c r="C55" s="53"/>
      <c r="D55" s="53"/>
      <c r="E55" s="53"/>
      <c r="F55" s="53"/>
      <c r="G55" s="53"/>
      <c r="H55" s="53"/>
      <c r="I55" s="53"/>
      <c r="J55" s="53"/>
      <c r="K55" s="53"/>
      <c r="L55" s="53"/>
      <c r="M55" s="53"/>
    </row>
    <row r="56" spans="1:13" x14ac:dyDescent="0.25">
      <c r="B56" s="53"/>
      <c r="C56" s="53"/>
      <c r="D56" s="53"/>
      <c r="E56" s="53"/>
      <c r="F56" s="53"/>
      <c r="G56" s="53"/>
      <c r="H56" s="53"/>
      <c r="I56" s="53"/>
      <c r="J56" s="53"/>
      <c r="K56" s="53"/>
      <c r="L56" s="53"/>
      <c r="M56" s="53"/>
    </row>
    <row r="57" spans="1:13" x14ac:dyDescent="0.25">
      <c r="B57" s="53"/>
      <c r="C57" s="53"/>
      <c r="D57" s="53"/>
      <c r="E57" s="53"/>
      <c r="F57" s="53"/>
      <c r="G57" s="53"/>
      <c r="H57" s="53"/>
      <c r="I57" s="53"/>
      <c r="J57" s="53"/>
      <c r="K57" s="53"/>
      <c r="L57" s="53"/>
      <c r="M57" s="53"/>
    </row>
    <row r="58" spans="1:13" x14ac:dyDescent="0.25">
      <c r="B58" s="53"/>
      <c r="C58" s="53"/>
      <c r="D58" s="53"/>
      <c r="E58" s="53"/>
      <c r="F58" s="53"/>
      <c r="G58" s="53"/>
      <c r="H58" s="53"/>
      <c r="I58" s="53"/>
      <c r="J58" s="53"/>
      <c r="K58" s="53"/>
      <c r="L58" s="53"/>
      <c r="M58" s="53"/>
    </row>
    <row r="59" spans="1:13" x14ac:dyDescent="0.25">
      <c r="B59" s="53"/>
      <c r="C59" s="53"/>
      <c r="D59" s="53"/>
      <c r="E59" s="53"/>
      <c r="F59" s="53"/>
      <c r="G59" s="53"/>
      <c r="H59" s="53"/>
      <c r="I59" s="53"/>
      <c r="J59" s="53"/>
      <c r="K59" s="53"/>
      <c r="L59" s="53"/>
      <c r="M59" s="53"/>
    </row>
    <row r="60" spans="1:13" x14ac:dyDescent="0.25">
      <c r="B60" s="53"/>
      <c r="C60" s="53"/>
      <c r="D60" s="53"/>
      <c r="E60" s="53"/>
      <c r="F60" s="53"/>
      <c r="G60" s="53"/>
      <c r="H60" s="53"/>
      <c r="I60" s="53"/>
      <c r="J60" s="53"/>
      <c r="K60" s="53"/>
      <c r="L60" s="53"/>
      <c r="M60" s="53"/>
    </row>
    <row r="61" spans="1:13" x14ac:dyDescent="0.25">
      <c r="B61" s="53"/>
      <c r="C61" s="53"/>
      <c r="D61" s="53"/>
      <c r="E61" s="53"/>
      <c r="F61" s="53"/>
      <c r="G61" s="53"/>
      <c r="H61" s="53"/>
      <c r="I61" s="53"/>
      <c r="J61" s="53"/>
      <c r="K61" s="53"/>
      <c r="L61" s="53"/>
      <c r="M61" s="53"/>
    </row>
    <row r="62" spans="1:13" x14ac:dyDescent="0.25">
      <c r="B62" s="53"/>
      <c r="C62" s="53"/>
      <c r="D62" s="53"/>
      <c r="E62" s="53"/>
      <c r="F62" s="53"/>
      <c r="G62" s="53"/>
      <c r="H62" s="53"/>
      <c r="I62" s="53"/>
      <c r="J62" s="53"/>
      <c r="K62" s="53"/>
      <c r="L62" s="53"/>
      <c r="M62" s="53"/>
    </row>
    <row r="63" spans="1:13" x14ac:dyDescent="0.25">
      <c r="B63" s="53"/>
      <c r="C63" s="53"/>
      <c r="D63" s="53"/>
      <c r="E63" s="53"/>
      <c r="F63" s="53"/>
      <c r="G63" s="53"/>
      <c r="H63" s="53"/>
      <c r="I63" s="53"/>
      <c r="J63" s="53"/>
      <c r="K63" s="53"/>
      <c r="L63" s="53"/>
      <c r="M63" s="53"/>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4"/>
  <sheetViews>
    <sheetView workbookViewId="0">
      <selection activeCell="M41" sqref="M41"/>
    </sheetView>
  </sheetViews>
  <sheetFormatPr defaultColWidth="8.7109375" defaultRowHeight="15" x14ac:dyDescent="0.25"/>
  <cols>
    <col min="1" max="1" width="14.140625" style="20" bestFit="1" customWidth="1"/>
    <col min="2" max="2" width="13.85546875" style="20" bestFit="1" customWidth="1"/>
    <col min="3" max="4" width="11" style="20" bestFit="1" customWidth="1"/>
    <col min="5" max="5" width="8.7109375" style="20"/>
    <col min="6" max="6" width="11" style="20" bestFit="1" customWidth="1"/>
    <col min="7" max="7" width="8.7109375" style="20"/>
    <col min="8" max="8" width="11.5703125" style="20" bestFit="1" customWidth="1"/>
    <col min="9" max="16384" width="8.7109375" style="20"/>
  </cols>
  <sheetData>
    <row r="1" spans="1:8" x14ac:dyDescent="0.25">
      <c r="A1" s="21" t="s">
        <v>165</v>
      </c>
    </row>
    <row r="2" spans="1:8" x14ac:dyDescent="0.25">
      <c r="A2" s="19" t="s">
        <v>166</v>
      </c>
    </row>
    <row r="3" spans="1:8" x14ac:dyDescent="0.25">
      <c r="A3" s="23" t="s">
        <v>167</v>
      </c>
    </row>
    <row r="4" spans="1:8" x14ac:dyDescent="0.25">
      <c r="A4" s="24" t="s">
        <v>180</v>
      </c>
    </row>
    <row r="6" spans="1:8" x14ac:dyDescent="0.25">
      <c r="A6" s="1" t="s">
        <v>50</v>
      </c>
    </row>
    <row r="8" spans="1:8" s="1" customFormat="1" x14ac:dyDescent="0.25">
      <c r="A8" s="1" t="s">
        <v>80</v>
      </c>
    </row>
    <row r="9" spans="1:8" x14ac:dyDescent="0.25">
      <c r="B9" s="44"/>
      <c r="C9" s="44"/>
      <c r="F9" s="44"/>
      <c r="G9" s="44"/>
      <c r="H9" s="44"/>
    </row>
    <row r="10" spans="1:8" x14ac:dyDescent="0.25">
      <c r="A10" s="44" t="s">
        <v>0</v>
      </c>
      <c r="B10" s="44" t="s">
        <v>49</v>
      </c>
      <c r="C10" s="44"/>
      <c r="D10" s="44" t="s">
        <v>18</v>
      </c>
      <c r="F10" s="44" t="s">
        <v>18</v>
      </c>
      <c r="G10" s="44"/>
      <c r="H10" s="44" t="s">
        <v>12</v>
      </c>
    </row>
    <row r="11" spans="1:8" x14ac:dyDescent="0.25">
      <c r="A11" s="2" t="s">
        <v>1</v>
      </c>
      <c r="B11" s="2" t="s">
        <v>14</v>
      </c>
      <c r="C11" s="2" t="s">
        <v>13</v>
      </c>
      <c r="D11" s="2" t="s">
        <v>14</v>
      </c>
      <c r="F11" s="2" t="s">
        <v>51</v>
      </c>
      <c r="G11" s="44"/>
      <c r="H11" s="2" t="s">
        <v>15</v>
      </c>
    </row>
    <row r="12" spans="1:8" x14ac:dyDescent="0.25">
      <c r="C12" s="45"/>
    </row>
    <row r="13" spans="1:8" x14ac:dyDescent="0.25">
      <c r="A13" s="20">
        <v>1</v>
      </c>
      <c r="B13" s="53">
        <f>'Invested asset rollforwards'!M16</f>
        <v>2321864.9696556125</v>
      </c>
      <c r="C13" s="53">
        <f>'Actuarial balances'!D109</f>
        <v>6578965.5965895001</v>
      </c>
      <c r="D13" s="53">
        <f>B13+C13</f>
        <v>8900830.5662451126</v>
      </c>
      <c r="F13" s="53">
        <f>'Actuarial balances'!E72</f>
        <v>8900830.5662451126</v>
      </c>
      <c r="H13" s="53">
        <f t="shared" ref="H13:H22" si="0">D13-F13</f>
        <v>0</v>
      </c>
    </row>
    <row r="14" spans="1:8" x14ac:dyDescent="0.25">
      <c r="A14" s="20">
        <v>2</v>
      </c>
      <c r="B14" s="53">
        <f>'Invested asset rollforwards'!M17</f>
        <v>11330072.537609663</v>
      </c>
      <c r="C14" s="53">
        <f>'Actuarial balances'!D110</f>
        <v>5685546.1224399675</v>
      </c>
      <c r="D14" s="53">
        <f t="shared" ref="D14:D22" si="1">B14+C14</f>
        <v>17015618.660049632</v>
      </c>
      <c r="F14" s="53">
        <f>'Actuarial balances'!E73</f>
        <v>17015618.660049628</v>
      </c>
      <c r="H14" s="53">
        <f t="shared" si="0"/>
        <v>0</v>
      </c>
    </row>
    <row r="15" spans="1:8" x14ac:dyDescent="0.25">
      <c r="A15" s="20">
        <v>3</v>
      </c>
      <c r="B15" s="53">
        <f>'Invested asset rollforwards'!M18</f>
        <v>19549081.510825478</v>
      </c>
      <c r="C15" s="53">
        <f>'Actuarial balances'!D111</f>
        <v>4837451.1583432518</v>
      </c>
      <c r="D15" s="53">
        <f t="shared" si="1"/>
        <v>24386532.669168729</v>
      </c>
      <c r="F15" s="53">
        <f>'Actuarial balances'!E74</f>
        <v>24386532.669168729</v>
      </c>
      <c r="H15" s="53">
        <f t="shared" si="0"/>
        <v>0</v>
      </c>
    </row>
    <row r="16" spans="1:8" x14ac:dyDescent="0.25">
      <c r="A16" s="20">
        <v>4</v>
      </c>
      <c r="B16" s="53">
        <f>'Invested asset rollforwards'!M19</f>
        <v>27043066.626860876</v>
      </c>
      <c r="C16" s="53">
        <f>'Actuarial balances'!D112</f>
        <v>4032558.5757651045</v>
      </c>
      <c r="D16" s="53">
        <f t="shared" si="1"/>
        <v>31075625.202625979</v>
      </c>
      <c r="F16" s="53">
        <f>'Actuarial balances'!E75</f>
        <v>31075625.202625979</v>
      </c>
      <c r="H16" s="53">
        <f t="shared" si="0"/>
        <v>0</v>
      </c>
    </row>
    <row r="17" spans="1:8" x14ac:dyDescent="0.25">
      <c r="A17" s="20">
        <v>5</v>
      </c>
      <c r="B17" s="53">
        <f>'Invested asset rollforwards'!M20</f>
        <v>33862911.431705914</v>
      </c>
      <c r="C17" s="53">
        <f>'Actuarial balances'!D113</f>
        <v>3268782.3209827971</v>
      </c>
      <c r="D17" s="53">
        <f t="shared" si="1"/>
        <v>37131693.752688713</v>
      </c>
      <c r="F17" s="53">
        <f>'Actuarial balances'!E76</f>
        <v>37131693.752688713</v>
      </c>
      <c r="H17" s="53">
        <f t="shared" si="0"/>
        <v>0</v>
      </c>
    </row>
    <row r="18" spans="1:8" x14ac:dyDescent="0.25">
      <c r="A18" s="20">
        <v>6</v>
      </c>
      <c r="B18" s="53">
        <f>'Invested asset rollforwards'!M21</f>
        <v>40057083.673773766</v>
      </c>
      <c r="C18" s="53">
        <f>'Actuarial balances'!D114</f>
        <v>2544123.6308654202</v>
      </c>
      <c r="D18" s="53">
        <f t="shared" si="1"/>
        <v>42601207.304639183</v>
      </c>
      <c r="F18" s="53">
        <f>'Actuarial balances'!E77</f>
        <v>42601207.304639183</v>
      </c>
      <c r="H18" s="53">
        <f t="shared" si="0"/>
        <v>0</v>
      </c>
    </row>
    <row r="19" spans="1:8" x14ac:dyDescent="0.25">
      <c r="A19" s="20">
        <v>7</v>
      </c>
      <c r="B19" s="53">
        <f>'Invested asset rollforwards'!M22</f>
        <v>45663191.681994118</v>
      </c>
      <c r="C19" s="53">
        <f>'Actuarial balances'!D115</f>
        <v>1856661.6713117682</v>
      </c>
      <c r="D19" s="53">
        <f t="shared" si="1"/>
        <v>47519853.353305884</v>
      </c>
      <c r="F19" s="53">
        <f>'Actuarial balances'!E78</f>
        <v>47519853.353305884</v>
      </c>
      <c r="H19" s="53">
        <f t="shared" si="0"/>
        <v>0</v>
      </c>
    </row>
    <row r="20" spans="1:8" x14ac:dyDescent="0.25">
      <c r="A20" s="20">
        <v>8</v>
      </c>
      <c r="B20" s="53">
        <f>'Invested asset rollforwards'!M23</f>
        <v>50721236.993021913</v>
      </c>
      <c r="C20" s="53">
        <f>'Actuarial balances'!D116</f>
        <v>1204604.6901370888</v>
      </c>
      <c r="D20" s="53">
        <f t="shared" si="1"/>
        <v>51925841.683159001</v>
      </c>
      <c r="F20" s="53">
        <f>'Actuarial balances'!E79</f>
        <v>51925841.683159001</v>
      </c>
      <c r="H20" s="53">
        <f t="shared" si="0"/>
        <v>0</v>
      </c>
    </row>
    <row r="21" spans="1:8" x14ac:dyDescent="0.25">
      <c r="A21" s="20">
        <v>9</v>
      </c>
      <c r="B21" s="53">
        <f>'Invested asset rollforwards'!M24</f>
        <v>55268470.675765842</v>
      </c>
      <c r="C21" s="53">
        <f>'Actuarial balances'!D117</f>
        <v>586253.18637630972</v>
      </c>
      <c r="D21" s="53">
        <f t="shared" si="1"/>
        <v>55854723.862142153</v>
      </c>
      <c r="F21" s="53">
        <f>'Actuarial balances'!E80</f>
        <v>55854723.862142153</v>
      </c>
      <c r="H21" s="53">
        <f t="shared" si="0"/>
        <v>0</v>
      </c>
    </row>
    <row r="22" spans="1:8" x14ac:dyDescent="0.25">
      <c r="A22" s="20">
        <v>10</v>
      </c>
      <c r="B22" s="53">
        <f>'Invested asset rollforwards'!M25</f>
        <v>0</v>
      </c>
      <c r="C22" s="53">
        <f>'Actuarial balances'!D118</f>
        <v>9.3132257461547852E-10</v>
      </c>
      <c r="D22" s="53">
        <f t="shared" si="1"/>
        <v>9.3132257461547852E-10</v>
      </c>
      <c r="F22" s="53">
        <f>'Actuarial balances'!E81</f>
        <v>0</v>
      </c>
      <c r="H22" s="53">
        <f t="shared" si="0"/>
        <v>9.3132257461547852E-10</v>
      </c>
    </row>
    <row r="23" spans="1:8" x14ac:dyDescent="0.25">
      <c r="B23" s="53"/>
      <c r="C23" s="53"/>
      <c r="D23" s="53"/>
      <c r="F23" s="53"/>
      <c r="H23" s="53"/>
    </row>
    <row r="24" spans="1:8" x14ac:dyDescent="0.25">
      <c r="A24" s="4" t="s">
        <v>81</v>
      </c>
      <c r="B24" s="53"/>
      <c r="C24" s="53"/>
      <c r="D24" s="53"/>
      <c r="F24" s="53"/>
      <c r="H24" s="53"/>
    </row>
    <row r="25" spans="1:8" x14ac:dyDescent="0.25">
      <c r="B25" s="53"/>
      <c r="C25" s="53"/>
      <c r="D25" s="53"/>
      <c r="F25" s="53"/>
      <c r="H25" s="53"/>
    </row>
    <row r="26" spans="1:8" x14ac:dyDescent="0.25">
      <c r="A26" s="44" t="s">
        <v>0</v>
      </c>
      <c r="B26" s="44" t="s">
        <v>49</v>
      </c>
      <c r="C26" s="44"/>
      <c r="D26" s="44" t="s">
        <v>18</v>
      </c>
      <c r="F26" s="44" t="s">
        <v>18</v>
      </c>
      <c r="G26" s="44"/>
      <c r="H26" s="44" t="s">
        <v>12</v>
      </c>
    </row>
    <row r="27" spans="1:8" x14ac:dyDescent="0.25">
      <c r="A27" s="2" t="s">
        <v>1</v>
      </c>
      <c r="B27" s="2" t="s">
        <v>14</v>
      </c>
      <c r="C27" s="2" t="s">
        <v>13</v>
      </c>
      <c r="D27" s="2" t="s">
        <v>14</v>
      </c>
      <c r="F27" s="2" t="s">
        <v>51</v>
      </c>
      <c r="G27" s="44"/>
      <c r="H27" s="2" t="s">
        <v>15</v>
      </c>
    </row>
    <row r="28" spans="1:8" x14ac:dyDescent="0.25">
      <c r="C28" s="45"/>
    </row>
    <row r="29" spans="1:8" x14ac:dyDescent="0.25">
      <c r="A29" s="20">
        <v>1</v>
      </c>
      <c r="B29" s="53">
        <f>'Invested asset rollforwards'!M35</f>
        <v>2321864.9696556125</v>
      </c>
      <c r="C29" s="53">
        <f>'Actuarial balances'!D109</f>
        <v>6578965.5965895001</v>
      </c>
      <c r="D29" s="53">
        <f>B29+C29</f>
        <v>8900830.5662451126</v>
      </c>
      <c r="F29" s="53">
        <f>'Actuarial balances'!E167</f>
        <v>8900830.5662451126</v>
      </c>
      <c r="H29" s="53">
        <f t="shared" ref="H29:H38" si="2">D29-F29</f>
        <v>0</v>
      </c>
    </row>
    <row r="30" spans="1:8" x14ac:dyDescent="0.25">
      <c r="A30" s="20">
        <v>2</v>
      </c>
      <c r="B30" s="53">
        <f>'Invested asset rollforwards'!M36</f>
        <v>11330072.537609663</v>
      </c>
      <c r="C30" s="53">
        <f>'Actuarial balances'!D110</f>
        <v>5685546.1224399675</v>
      </c>
      <c r="D30" s="53">
        <f t="shared" ref="D30:D38" si="3">B30+C30</f>
        <v>17015618.660049632</v>
      </c>
      <c r="F30" s="53">
        <f>'Actuarial balances'!E168</f>
        <v>17015618.660049628</v>
      </c>
      <c r="H30" s="53">
        <f t="shared" si="2"/>
        <v>0</v>
      </c>
    </row>
    <row r="31" spans="1:8" x14ac:dyDescent="0.25">
      <c r="A31" s="20">
        <v>3</v>
      </c>
      <c r="B31" s="53">
        <f>'Invested asset rollforwards'!M37</f>
        <v>19549081.510825474</v>
      </c>
      <c r="C31" s="53">
        <f>'Actuarial balances'!D111</f>
        <v>4837451.1583432518</v>
      </c>
      <c r="D31" s="53">
        <f t="shared" si="3"/>
        <v>24386532.669168726</v>
      </c>
      <c r="F31" s="53">
        <f>'Actuarial balances'!E169</f>
        <v>24386532.669168726</v>
      </c>
      <c r="H31" s="53">
        <f t="shared" si="2"/>
        <v>0</v>
      </c>
    </row>
    <row r="32" spans="1:8" x14ac:dyDescent="0.25">
      <c r="A32" s="20">
        <v>4</v>
      </c>
      <c r="B32" s="53">
        <f>'Invested asset rollforwards'!M38</f>
        <v>27043066.626860879</v>
      </c>
      <c r="C32" s="53">
        <f>'Actuarial balances'!D112</f>
        <v>4032558.5757651045</v>
      </c>
      <c r="D32" s="53">
        <f t="shared" si="3"/>
        <v>31075625.202625982</v>
      </c>
      <c r="F32" s="53">
        <f>'Actuarial balances'!E170</f>
        <v>31075625.202625982</v>
      </c>
      <c r="H32" s="53">
        <f t="shared" si="2"/>
        <v>0</v>
      </c>
    </row>
    <row r="33" spans="1:8" x14ac:dyDescent="0.25">
      <c r="A33" s="20">
        <v>5</v>
      </c>
      <c r="B33" s="53">
        <f>'Invested asset rollforwards'!M39</f>
        <v>33851212.483384982</v>
      </c>
      <c r="C33" s="53">
        <f>'Actuarial balances'!D207</f>
        <v>3268583.8986684578</v>
      </c>
      <c r="D33" s="53">
        <f t="shared" si="3"/>
        <v>37119796.382053442</v>
      </c>
      <c r="F33" s="53">
        <f>'Actuarial balances'!E171</f>
        <v>37119796.382053435</v>
      </c>
      <c r="H33" s="53">
        <f t="shared" si="2"/>
        <v>0</v>
      </c>
    </row>
    <row r="34" spans="1:8" x14ac:dyDescent="0.25">
      <c r="A34" s="20">
        <v>6</v>
      </c>
      <c r="B34" s="53">
        <f>'Invested asset rollforwards'!M40</f>
        <v>40043588.249547422</v>
      </c>
      <c r="C34" s="53">
        <f>'Actuarial balances'!D208</f>
        <v>2543969.1969358306</v>
      </c>
      <c r="D34" s="53">
        <f t="shared" si="3"/>
        <v>42587557.446483254</v>
      </c>
      <c r="F34" s="53">
        <f>'Actuarial balances'!E172</f>
        <v>42587557.446483247</v>
      </c>
      <c r="H34" s="53">
        <f t="shared" si="2"/>
        <v>0</v>
      </c>
    </row>
    <row r="35" spans="1:8" x14ac:dyDescent="0.25">
      <c r="A35" s="20">
        <v>7</v>
      </c>
      <c r="B35" s="53">
        <f>'Invested asset rollforwards'!M41</f>
        <v>45648078.543311715</v>
      </c>
      <c r="C35" s="53">
        <f>'Actuarial balances'!D209</f>
        <v>1856548.9678431391</v>
      </c>
      <c r="D35" s="53">
        <f t="shared" si="3"/>
        <v>47504627.511154853</v>
      </c>
      <c r="F35" s="53">
        <f>'Actuarial balances'!E173</f>
        <v>47504627.511154853</v>
      </c>
      <c r="H35" s="53">
        <f t="shared" si="2"/>
        <v>0</v>
      </c>
    </row>
    <row r="36" spans="1:8" x14ac:dyDescent="0.25">
      <c r="A36" s="20">
        <v>8</v>
      </c>
      <c r="B36" s="53">
        <f>'Invested asset rollforwards'!M42</f>
        <v>50704672.54976768</v>
      </c>
      <c r="C36" s="53">
        <f>'Actuarial balances'!D210</f>
        <v>1204531.5679689504</v>
      </c>
      <c r="D36" s="53">
        <f t="shared" si="3"/>
        <v>51909204.11773663</v>
      </c>
      <c r="F36" s="53">
        <f>'Actuarial balances'!E174</f>
        <v>51909204.11773663</v>
      </c>
      <c r="H36" s="53">
        <f t="shared" si="2"/>
        <v>0</v>
      </c>
    </row>
    <row r="37" spans="1:8" x14ac:dyDescent="0.25">
      <c r="A37" s="20">
        <v>9</v>
      </c>
      <c r="B37" s="53">
        <f>'Invested asset rollforwards'!M43</f>
        <v>55250609.843578219</v>
      </c>
      <c r="C37" s="53">
        <f>'Actuarial balances'!D211</f>
        <v>586217.59951165831</v>
      </c>
      <c r="D37" s="53">
        <f t="shared" si="3"/>
        <v>55836827.44308988</v>
      </c>
      <c r="F37" s="53">
        <f>'Actuarial balances'!E175</f>
        <v>55836827.443089873</v>
      </c>
      <c r="H37" s="53">
        <f t="shared" si="2"/>
        <v>0</v>
      </c>
    </row>
    <row r="38" spans="1:8" x14ac:dyDescent="0.25">
      <c r="A38" s="20">
        <v>10</v>
      </c>
      <c r="B38" s="53">
        <f>'Invested asset rollforwards'!M44</f>
        <v>0</v>
      </c>
      <c r="C38" s="53">
        <f>'Actuarial balances'!D212</f>
        <v>0</v>
      </c>
      <c r="D38" s="53">
        <f t="shared" si="3"/>
        <v>0</v>
      </c>
      <c r="F38" s="53">
        <f>'Actuarial balances'!E176</f>
        <v>0</v>
      </c>
      <c r="H38" s="53">
        <f t="shared" si="2"/>
        <v>0</v>
      </c>
    </row>
    <row r="40" spans="1:8" x14ac:dyDescent="0.25">
      <c r="A40" s="4"/>
      <c r="B40" s="53"/>
      <c r="C40" s="53"/>
      <c r="D40" s="53"/>
      <c r="F40" s="53"/>
      <c r="H40" s="53"/>
    </row>
    <row r="41" spans="1:8" x14ac:dyDescent="0.25">
      <c r="B41" s="53"/>
      <c r="C41" s="53"/>
      <c r="D41" s="53"/>
      <c r="F41" s="53"/>
      <c r="H41" s="53"/>
    </row>
    <row r="42" spans="1:8" x14ac:dyDescent="0.25">
      <c r="A42" s="44"/>
      <c r="B42" s="44"/>
      <c r="C42" s="44"/>
      <c r="D42" s="44"/>
      <c r="F42" s="44"/>
      <c r="G42" s="44"/>
      <c r="H42" s="44"/>
    </row>
    <row r="43" spans="1:8" x14ac:dyDescent="0.25">
      <c r="A43" s="2"/>
      <c r="B43" s="2"/>
      <c r="C43" s="2"/>
      <c r="D43" s="2"/>
      <c r="F43" s="2"/>
      <c r="G43" s="44"/>
      <c r="H43" s="2"/>
    </row>
    <row r="44" spans="1:8" x14ac:dyDescent="0.25">
      <c r="C44" s="45"/>
    </row>
    <row r="45" spans="1:8" x14ac:dyDescent="0.25">
      <c r="B45" s="53"/>
      <c r="C45" s="53"/>
      <c r="D45" s="53"/>
      <c r="F45" s="53"/>
      <c r="H45" s="53"/>
    </row>
    <row r="46" spans="1:8" x14ac:dyDescent="0.25">
      <c r="B46" s="53"/>
      <c r="C46" s="53"/>
      <c r="D46" s="53"/>
      <c r="F46" s="53"/>
      <c r="H46" s="53"/>
    </row>
    <row r="47" spans="1:8" x14ac:dyDescent="0.25">
      <c r="B47" s="53"/>
      <c r="C47" s="53"/>
      <c r="D47" s="53"/>
      <c r="F47" s="53"/>
      <c r="H47" s="53"/>
    </row>
    <row r="48" spans="1:8" x14ac:dyDescent="0.25">
      <c r="B48" s="53"/>
      <c r="C48" s="53"/>
      <c r="D48" s="53"/>
      <c r="F48" s="53"/>
      <c r="H48" s="53"/>
    </row>
    <row r="49" spans="2:8" x14ac:dyDescent="0.25">
      <c r="B49" s="53"/>
      <c r="C49" s="53"/>
      <c r="D49" s="53"/>
      <c r="F49" s="53"/>
      <c r="H49" s="53"/>
    </row>
    <row r="50" spans="2:8" x14ac:dyDescent="0.25">
      <c r="B50" s="53"/>
      <c r="C50" s="53"/>
      <c r="D50" s="53"/>
      <c r="F50" s="53"/>
      <c r="H50" s="53"/>
    </row>
    <row r="51" spans="2:8" x14ac:dyDescent="0.25">
      <c r="B51" s="53"/>
      <c r="C51" s="53"/>
      <c r="D51" s="53"/>
      <c r="F51" s="53"/>
      <c r="H51" s="53"/>
    </row>
    <row r="52" spans="2:8" x14ac:dyDescent="0.25">
      <c r="B52" s="53"/>
      <c r="C52" s="53"/>
      <c r="D52" s="53"/>
      <c r="F52" s="53"/>
      <c r="H52" s="53"/>
    </row>
    <row r="53" spans="2:8" x14ac:dyDescent="0.25">
      <c r="B53" s="53"/>
      <c r="C53" s="53"/>
      <c r="D53" s="53"/>
      <c r="F53" s="53"/>
      <c r="H53" s="53"/>
    </row>
    <row r="54" spans="2:8" x14ac:dyDescent="0.25">
      <c r="B54" s="53"/>
      <c r="C54" s="53"/>
      <c r="D54" s="53"/>
      <c r="F54" s="53"/>
      <c r="H54" s="5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60"/>
  <sheetViews>
    <sheetView workbookViewId="0">
      <selection activeCell="L34" sqref="L34"/>
    </sheetView>
  </sheetViews>
  <sheetFormatPr defaultColWidth="8.7109375" defaultRowHeight="15" x14ac:dyDescent="0.25"/>
  <cols>
    <col min="1" max="1" width="22.140625" style="20" bestFit="1" customWidth="1"/>
    <col min="2" max="2" width="8.7109375" style="20"/>
    <col min="3" max="3" width="11.85546875" style="20" customWidth="1"/>
    <col min="4" max="4" width="11" style="20" bestFit="1" customWidth="1"/>
    <col min="5" max="16384" width="8.7109375" style="20"/>
  </cols>
  <sheetData>
    <row r="1" spans="1:5" x14ac:dyDescent="0.25">
      <c r="A1" s="21" t="s">
        <v>165</v>
      </c>
    </row>
    <row r="2" spans="1:5" x14ac:dyDescent="0.25">
      <c r="A2" s="19" t="s">
        <v>166</v>
      </c>
    </row>
    <row r="3" spans="1:5" x14ac:dyDescent="0.25">
      <c r="A3" s="23" t="s">
        <v>167</v>
      </c>
    </row>
    <row r="4" spans="1:5" x14ac:dyDescent="0.25">
      <c r="A4" s="24" t="s">
        <v>180</v>
      </c>
    </row>
    <row r="6" spans="1:5" x14ac:dyDescent="0.25">
      <c r="A6" s="1" t="s">
        <v>52</v>
      </c>
    </row>
    <row r="7" spans="1:5" x14ac:dyDescent="0.25">
      <c r="A7" s="1"/>
    </row>
    <row r="8" spans="1:5" x14ac:dyDescent="0.25">
      <c r="A8" s="1" t="s">
        <v>80</v>
      </c>
    </row>
    <row r="10" spans="1:5" x14ac:dyDescent="0.25">
      <c r="A10" s="3"/>
      <c r="B10" s="44" t="s">
        <v>12</v>
      </c>
      <c r="C10" s="44"/>
      <c r="D10" s="44"/>
      <c r="E10" s="44" t="s">
        <v>12</v>
      </c>
    </row>
    <row r="11" spans="1:5" x14ac:dyDescent="0.25">
      <c r="B11" s="44" t="s">
        <v>15</v>
      </c>
      <c r="C11" s="44"/>
      <c r="D11" s="44"/>
      <c r="E11" s="44" t="s">
        <v>15</v>
      </c>
    </row>
    <row r="12" spans="1:5" x14ac:dyDescent="0.25">
      <c r="A12" s="44" t="s">
        <v>0</v>
      </c>
      <c r="B12" s="44" t="s">
        <v>53</v>
      </c>
      <c r="C12" s="44" t="s">
        <v>44</v>
      </c>
      <c r="D12" s="44" t="s">
        <v>16</v>
      </c>
      <c r="E12" s="44" t="s">
        <v>30</v>
      </c>
    </row>
    <row r="13" spans="1:5" x14ac:dyDescent="0.25">
      <c r="A13" s="2" t="s">
        <v>1</v>
      </c>
      <c r="B13" s="2" t="s">
        <v>1</v>
      </c>
      <c r="C13" s="2" t="s">
        <v>8</v>
      </c>
      <c r="D13" s="2" t="s">
        <v>17</v>
      </c>
      <c r="E13" s="2" t="s">
        <v>1</v>
      </c>
    </row>
    <row r="14" spans="1:5" x14ac:dyDescent="0.25">
      <c r="E14" s="45">
        <v>0</v>
      </c>
    </row>
    <row r="15" spans="1:5" x14ac:dyDescent="0.25">
      <c r="A15" s="20">
        <v>1</v>
      </c>
      <c r="B15" s="53">
        <f>E14</f>
        <v>0</v>
      </c>
      <c r="C15" s="53">
        <f>'Income statement'!M14</f>
        <v>446167.53034438833</v>
      </c>
      <c r="D15" s="53">
        <f>'Invested asset rollforwards'!L16</f>
        <v>-446167.53034438833</v>
      </c>
      <c r="E15" s="53">
        <f>E14+B15+C15+D15</f>
        <v>0</v>
      </c>
    </row>
    <row r="16" spans="1:5" x14ac:dyDescent="0.25">
      <c r="A16" s="20">
        <v>2</v>
      </c>
      <c r="B16" s="53">
        <f t="shared" ref="B16:B24" si="0">E15</f>
        <v>0</v>
      </c>
      <c r="C16" s="53">
        <f>'Income statement'!M15</f>
        <v>410245.19837480981</v>
      </c>
      <c r="D16" s="53">
        <f>'Invested asset rollforwards'!L17</f>
        <v>-410245.19837480981</v>
      </c>
      <c r="E16" s="53">
        <f t="shared" ref="E16:E24" si="1">E15+B16+C16+D16</f>
        <v>0</v>
      </c>
    </row>
    <row r="17" spans="1:5" x14ac:dyDescent="0.25">
      <c r="A17" s="20">
        <v>3</v>
      </c>
      <c r="B17" s="53">
        <f t="shared" si="0"/>
        <v>0</v>
      </c>
      <c r="C17" s="53">
        <f>'Income statement'!M16</f>
        <v>346191.33979111351</v>
      </c>
      <c r="D17" s="53">
        <f>'Invested asset rollforwards'!L18</f>
        <v>-346191.33979111351</v>
      </c>
      <c r="E17" s="53">
        <f t="shared" si="1"/>
        <v>0</v>
      </c>
    </row>
    <row r="18" spans="1:5" x14ac:dyDescent="0.25">
      <c r="A18" s="20">
        <v>4</v>
      </c>
      <c r="B18" s="53">
        <f t="shared" si="0"/>
        <v>0</v>
      </c>
      <c r="C18" s="53">
        <f>'Income statement'!M17</f>
        <v>288454.60463840968</v>
      </c>
      <c r="D18" s="53">
        <f>'Invested asset rollforwards'!L19</f>
        <v>-288454.60463840968</v>
      </c>
      <c r="E18" s="53">
        <f t="shared" si="1"/>
        <v>0</v>
      </c>
    </row>
    <row r="19" spans="1:5" x14ac:dyDescent="0.25">
      <c r="A19" s="20">
        <v>5</v>
      </c>
      <c r="B19" s="53">
        <f t="shared" si="0"/>
        <v>0</v>
      </c>
      <c r="C19" s="53">
        <f>'Income statement'!M18</f>
        <v>236139.245182844</v>
      </c>
      <c r="D19" s="53">
        <f>'Invested asset rollforwards'!L20</f>
        <v>-236139.245182844</v>
      </c>
      <c r="E19" s="53">
        <f t="shared" si="1"/>
        <v>0</v>
      </c>
    </row>
    <row r="20" spans="1:5" x14ac:dyDescent="0.25">
      <c r="A20" s="20">
        <v>6</v>
      </c>
      <c r="B20" s="53">
        <f t="shared" si="0"/>
        <v>0</v>
      </c>
      <c r="C20" s="53">
        <f>'Income statement'!M19</f>
        <v>188877.30944579828</v>
      </c>
      <c r="D20" s="53">
        <f>'Invested asset rollforwards'!L21</f>
        <v>-188877.30944579828</v>
      </c>
      <c r="E20" s="53">
        <f t="shared" si="1"/>
        <v>0</v>
      </c>
    </row>
    <row r="21" spans="1:5" x14ac:dyDescent="0.25">
      <c r="A21" s="20">
        <v>7</v>
      </c>
      <c r="B21" s="53">
        <f t="shared" si="0"/>
        <v>0</v>
      </c>
      <c r="C21" s="53">
        <f>'Income statement'!M20</f>
        <v>146010.08289428207</v>
      </c>
      <c r="D21" s="53">
        <f>'Invested asset rollforwards'!L22</f>
        <v>-146010.08289428207</v>
      </c>
      <c r="E21" s="53">
        <f t="shared" si="1"/>
        <v>0</v>
      </c>
    </row>
    <row r="22" spans="1:5" x14ac:dyDescent="0.25">
      <c r="A22" s="20">
        <v>8</v>
      </c>
      <c r="B22" s="53">
        <f t="shared" si="0"/>
        <v>0</v>
      </c>
      <c r="C22" s="53">
        <f>'Income statement'!M21</f>
        <v>107432.63833246555</v>
      </c>
      <c r="D22" s="53">
        <f>'Invested asset rollforwards'!L23</f>
        <v>-107432.63833246555</v>
      </c>
      <c r="E22" s="53">
        <f t="shared" si="1"/>
        <v>0</v>
      </c>
    </row>
    <row r="23" spans="1:5" x14ac:dyDescent="0.25">
      <c r="A23" s="20">
        <v>9</v>
      </c>
      <c r="B23" s="53">
        <f t="shared" si="0"/>
        <v>0</v>
      </c>
      <c r="C23" s="53">
        <f>'Income statement'!M22</f>
        <v>72835.477113037137</v>
      </c>
      <c r="D23" s="53">
        <f>'Invested asset rollforwards'!L24</f>
        <v>-72835.477113037137</v>
      </c>
      <c r="E23" s="53">
        <f t="shared" si="1"/>
        <v>0</v>
      </c>
    </row>
    <row r="24" spans="1:5" x14ac:dyDescent="0.25">
      <c r="A24" s="20">
        <v>10</v>
      </c>
      <c r="B24" s="53">
        <f t="shared" si="0"/>
        <v>0</v>
      </c>
      <c r="C24" s="53">
        <f>'Income statement'!M23</f>
        <v>26698.956077353796</v>
      </c>
      <c r="D24" s="53">
        <f>'Invested asset rollforwards'!L25</f>
        <v>-26698.956077353796</v>
      </c>
      <c r="E24" s="53">
        <f t="shared" si="1"/>
        <v>0</v>
      </c>
    </row>
    <row r="25" spans="1:5" x14ac:dyDescent="0.25">
      <c r="B25" s="53"/>
      <c r="C25" s="53"/>
      <c r="D25" s="53"/>
      <c r="E25" s="53"/>
    </row>
    <row r="26" spans="1:5" x14ac:dyDescent="0.25">
      <c r="A26" s="4" t="s">
        <v>81</v>
      </c>
      <c r="B26" s="53"/>
      <c r="C26" s="53"/>
      <c r="D26" s="53"/>
      <c r="E26" s="53"/>
    </row>
    <row r="27" spans="1:5" x14ac:dyDescent="0.25">
      <c r="B27" s="53"/>
      <c r="C27" s="53"/>
      <c r="D27" s="53"/>
      <c r="E27" s="53"/>
    </row>
    <row r="28" spans="1:5" x14ac:dyDescent="0.25">
      <c r="A28" s="3"/>
      <c r="B28" s="44" t="s">
        <v>12</v>
      </c>
      <c r="C28" s="44"/>
      <c r="D28" s="44"/>
      <c r="E28" s="44" t="s">
        <v>12</v>
      </c>
    </row>
    <row r="29" spans="1:5" x14ac:dyDescent="0.25">
      <c r="B29" s="44" t="s">
        <v>15</v>
      </c>
      <c r="C29" s="44"/>
      <c r="D29" s="44"/>
      <c r="E29" s="44" t="s">
        <v>15</v>
      </c>
    </row>
    <row r="30" spans="1:5" x14ac:dyDescent="0.25">
      <c r="A30" s="44" t="s">
        <v>0</v>
      </c>
      <c r="B30" s="44" t="s">
        <v>53</v>
      </c>
      <c r="C30" s="44" t="s">
        <v>44</v>
      </c>
      <c r="D30" s="44" t="s">
        <v>16</v>
      </c>
      <c r="E30" s="44" t="s">
        <v>30</v>
      </c>
    </row>
    <row r="31" spans="1:5" x14ac:dyDescent="0.25">
      <c r="A31" s="2" t="s">
        <v>1</v>
      </c>
      <c r="B31" s="2" t="s">
        <v>1</v>
      </c>
      <c r="C31" s="2" t="s">
        <v>8</v>
      </c>
      <c r="D31" s="2" t="s">
        <v>17</v>
      </c>
      <c r="E31" s="2" t="s">
        <v>1</v>
      </c>
    </row>
    <row r="32" spans="1:5" x14ac:dyDescent="0.25">
      <c r="E32" s="53">
        <v>0</v>
      </c>
    </row>
    <row r="33" spans="1:5" x14ac:dyDescent="0.25">
      <c r="A33" s="20">
        <v>1</v>
      </c>
      <c r="B33" s="53">
        <f>E32</f>
        <v>0</v>
      </c>
      <c r="C33" s="53">
        <f>'Income statement'!M31</f>
        <v>446167.53034438833</v>
      </c>
      <c r="D33" s="53">
        <f>'Invested asset rollforwards'!L35</f>
        <v>-446167.53034438833</v>
      </c>
      <c r="E33" s="53">
        <f>E32+B33+C33+D33</f>
        <v>0</v>
      </c>
    </row>
    <row r="34" spans="1:5" x14ac:dyDescent="0.25">
      <c r="A34" s="20">
        <v>2</v>
      </c>
      <c r="B34" s="53">
        <f t="shared" ref="B34:B42" si="2">E33</f>
        <v>0</v>
      </c>
      <c r="C34" s="53">
        <f>'Income statement'!M32</f>
        <v>410245.19837480981</v>
      </c>
      <c r="D34" s="53">
        <f>'Invested asset rollforwards'!L36</f>
        <v>-410245.19837480981</v>
      </c>
      <c r="E34" s="53">
        <f t="shared" ref="E34:E42" si="3">E33+B34+C34+D34</f>
        <v>0</v>
      </c>
    </row>
    <row r="35" spans="1:5" x14ac:dyDescent="0.25">
      <c r="A35" s="20">
        <v>3</v>
      </c>
      <c r="B35" s="53">
        <f t="shared" si="2"/>
        <v>0</v>
      </c>
      <c r="C35" s="53">
        <f>'Income statement'!M33</f>
        <v>346191.33979111724</v>
      </c>
      <c r="D35" s="53">
        <f>'Invested asset rollforwards'!L37</f>
        <v>-346191.33979111724</v>
      </c>
      <c r="E35" s="53">
        <f t="shared" si="3"/>
        <v>0</v>
      </c>
    </row>
    <row r="36" spans="1:5" x14ac:dyDescent="0.25">
      <c r="A36" s="20">
        <v>4</v>
      </c>
      <c r="B36" s="53">
        <f t="shared" si="2"/>
        <v>0</v>
      </c>
      <c r="C36" s="53">
        <f>'Income statement'!M34</f>
        <v>288454.60463840223</v>
      </c>
      <c r="D36" s="53">
        <f>'Invested asset rollforwards'!L38</f>
        <v>-288454.60463840223</v>
      </c>
      <c r="E36" s="53">
        <f t="shared" si="3"/>
        <v>0</v>
      </c>
    </row>
    <row r="37" spans="1:5" x14ac:dyDescent="0.25">
      <c r="A37" s="20">
        <v>5</v>
      </c>
      <c r="B37" s="53">
        <f t="shared" si="2"/>
        <v>0</v>
      </c>
      <c r="C37" s="53">
        <f>'Income statement'!M35</f>
        <v>222159.78453269589</v>
      </c>
      <c r="D37" s="53">
        <f>'Invested asset rollforwards'!L39</f>
        <v>-222159.78453269589</v>
      </c>
      <c r="E37" s="53">
        <f t="shared" si="3"/>
        <v>0</v>
      </c>
    </row>
    <row r="38" spans="1:5" x14ac:dyDescent="0.25">
      <c r="A38" s="20">
        <v>6</v>
      </c>
      <c r="B38" s="53">
        <f t="shared" si="2"/>
        <v>0</v>
      </c>
      <c r="C38" s="53">
        <f>'Income statement'!M36</f>
        <v>188592.5121796811</v>
      </c>
      <c r="D38" s="53">
        <f>'Invested asset rollforwards'!L40</f>
        <v>-188592.5121796811</v>
      </c>
      <c r="E38" s="53">
        <f t="shared" si="3"/>
        <v>0</v>
      </c>
    </row>
    <row r="39" spans="1:5" x14ac:dyDescent="0.25">
      <c r="A39" s="20">
        <v>7</v>
      </c>
      <c r="B39" s="53">
        <f t="shared" si="2"/>
        <v>0</v>
      </c>
      <c r="C39" s="53">
        <f>'Income statement'!M37</f>
        <v>145756.6794897397</v>
      </c>
      <c r="D39" s="53">
        <f>'Invested asset rollforwards'!L41</f>
        <v>-145756.6794897397</v>
      </c>
      <c r="E39" s="53">
        <f t="shared" si="3"/>
        <v>0</v>
      </c>
    </row>
    <row r="40" spans="1:5" x14ac:dyDescent="0.25">
      <c r="A40" s="20">
        <v>8</v>
      </c>
      <c r="B40" s="53">
        <f t="shared" si="2"/>
        <v>0</v>
      </c>
      <c r="C40" s="53">
        <f>'Income statement'!M38</f>
        <v>107208.37840555771</v>
      </c>
      <c r="D40" s="53">
        <f>'Invested asset rollforwards'!L42</f>
        <v>-107208.37840555771</v>
      </c>
      <c r="E40" s="53">
        <f t="shared" si="3"/>
        <v>0</v>
      </c>
    </row>
    <row r="41" spans="1:5" x14ac:dyDescent="0.25">
      <c r="A41" s="20">
        <v>9</v>
      </c>
      <c r="B41" s="53">
        <f t="shared" si="2"/>
        <v>0</v>
      </c>
      <c r="C41" s="53">
        <f>'Income statement'!M39</f>
        <v>72638.253181323875</v>
      </c>
      <c r="D41" s="53">
        <f>'Invested asset rollforwards'!L43</f>
        <v>-72638.253181323875</v>
      </c>
      <c r="E41" s="53">
        <f t="shared" si="3"/>
        <v>0</v>
      </c>
    </row>
    <row r="42" spans="1:5" x14ac:dyDescent="0.25">
      <c r="A42" s="20">
        <v>10</v>
      </c>
      <c r="B42" s="53">
        <f t="shared" si="2"/>
        <v>0</v>
      </c>
      <c r="C42" s="53">
        <f>'Income statement'!M40</f>
        <v>26531.676049281727</v>
      </c>
      <c r="D42" s="53">
        <f>'Invested asset rollforwards'!L44</f>
        <v>-26531.676049281727</v>
      </c>
      <c r="E42" s="53">
        <f t="shared" si="3"/>
        <v>0</v>
      </c>
    </row>
    <row r="44" spans="1:5" x14ac:dyDescent="0.25">
      <c r="A44" s="4"/>
      <c r="B44" s="53"/>
      <c r="C44" s="53"/>
      <c r="D44" s="53"/>
      <c r="E44" s="53"/>
    </row>
    <row r="45" spans="1:5" x14ac:dyDescent="0.25">
      <c r="B45" s="53"/>
      <c r="C45" s="53"/>
      <c r="D45" s="53"/>
      <c r="E45" s="53"/>
    </row>
    <row r="46" spans="1:5" x14ac:dyDescent="0.25">
      <c r="A46" s="3"/>
      <c r="B46" s="44"/>
      <c r="C46" s="44"/>
      <c r="D46" s="44"/>
      <c r="E46" s="44"/>
    </row>
    <row r="47" spans="1:5" x14ac:dyDescent="0.25">
      <c r="B47" s="44"/>
      <c r="C47" s="44"/>
      <c r="D47" s="44"/>
      <c r="E47" s="44"/>
    </row>
    <row r="48" spans="1:5" x14ac:dyDescent="0.25">
      <c r="A48" s="44"/>
      <c r="B48" s="44"/>
      <c r="C48" s="44"/>
      <c r="D48" s="44"/>
      <c r="E48" s="44"/>
    </row>
    <row r="49" spans="1:5" x14ac:dyDescent="0.25">
      <c r="A49" s="2"/>
      <c r="B49" s="2"/>
      <c r="C49" s="2"/>
      <c r="D49" s="2"/>
      <c r="E49" s="2"/>
    </row>
    <row r="50" spans="1:5" x14ac:dyDescent="0.25">
      <c r="E50" s="53"/>
    </row>
    <row r="51" spans="1:5" x14ac:dyDescent="0.25">
      <c r="B51" s="53"/>
      <c r="C51" s="53"/>
      <c r="D51" s="53"/>
      <c r="E51" s="53"/>
    </row>
    <row r="52" spans="1:5" x14ac:dyDescent="0.25">
      <c r="B52" s="53"/>
      <c r="C52" s="53"/>
      <c r="D52" s="53"/>
      <c r="E52" s="53"/>
    </row>
    <row r="53" spans="1:5" x14ac:dyDescent="0.25">
      <c r="B53" s="53"/>
      <c r="C53" s="53"/>
      <c r="D53" s="53"/>
      <c r="E53" s="53"/>
    </row>
    <row r="54" spans="1:5" x14ac:dyDescent="0.25">
      <c r="B54" s="53"/>
      <c r="C54" s="53"/>
      <c r="D54" s="53"/>
      <c r="E54" s="53"/>
    </row>
    <row r="55" spans="1:5" x14ac:dyDescent="0.25">
      <c r="B55" s="53"/>
      <c r="C55" s="53"/>
      <c r="D55" s="53"/>
      <c r="E55" s="53"/>
    </row>
    <row r="56" spans="1:5" x14ac:dyDescent="0.25">
      <c r="B56" s="53"/>
      <c r="C56" s="53"/>
      <c r="D56" s="53"/>
      <c r="E56" s="53"/>
    </row>
    <row r="57" spans="1:5" x14ac:dyDescent="0.25">
      <c r="B57" s="53"/>
      <c r="C57" s="53"/>
      <c r="D57" s="53"/>
      <c r="E57" s="53"/>
    </row>
    <row r="58" spans="1:5" x14ac:dyDescent="0.25">
      <c r="B58" s="53"/>
      <c r="C58" s="53"/>
      <c r="D58" s="53"/>
      <c r="E58" s="53"/>
    </row>
    <row r="59" spans="1:5" x14ac:dyDescent="0.25">
      <c r="B59" s="53"/>
      <c r="C59" s="53"/>
      <c r="D59" s="53"/>
      <c r="E59" s="53"/>
    </row>
    <row r="60" spans="1:5" x14ac:dyDescent="0.25">
      <c r="B60" s="53"/>
      <c r="C60" s="53"/>
      <c r="D60" s="53"/>
      <c r="E60" s="5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Disclaimer</vt:lpstr>
      <vt:lpstr>Input</vt:lpstr>
      <vt:lpstr>CSV and dividend determination</vt:lpstr>
      <vt:lpstr>Actuarial balances</vt:lpstr>
      <vt:lpstr>Income statement</vt:lpstr>
      <vt:lpstr>Invested asset rollforwards</vt:lpstr>
      <vt:lpstr>Balance sheet</vt:lpstr>
      <vt:lpstr>GAAP Equity Rollforward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2024-11-18T20:44:44Z</dcterms:created>
  <dcterms:modified xsi:type="dcterms:W3CDTF">2024-11-18T20:44:47Z</dcterms:modified>
</cp:coreProperties>
</file>